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drawings/drawing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0.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drawings/drawing11.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05" windowWidth="8160" windowHeight="6540" tabRatio="841" activeTab="0"/>
  </bookViews>
  <sheets>
    <sheet name="FRS BS" sheetId="1" r:id="rId1"/>
    <sheet name="FRS PL" sheetId="2" r:id="rId2"/>
    <sheet name="FRS equity" sheetId="3" r:id="rId3"/>
    <sheet name="cf" sheetId="4" r:id="rId4"/>
    <sheet name="Cond PL" sheetId="5" state="hidden" r:id="rId5"/>
    <sheet name="Cond BS" sheetId="6" state="hidden" r:id="rId6"/>
    <sheet name="equity" sheetId="7" state="hidden" r:id="rId7"/>
    <sheet name="det equity" sheetId="8" state="hidden" r:id="rId8"/>
    <sheet name="cf work" sheetId="9" state="hidden" r:id="rId9"/>
    <sheet name="EPS" sheetId="10" state="hidden" r:id="rId10"/>
    <sheet name="Fully diluted" sheetId="11" state="hidden" r:id="rId11"/>
    <sheet name="adj" sheetId="12" state="hidden" r:id="rId12"/>
    <sheet name="Sheet1" sheetId="13" state="hidden" r:id="rId13"/>
    <sheet name="Source" sheetId="14" state="hidden" r:id="rId14"/>
    <sheet name="pl" sheetId="15" state="hidden" r:id="rId15"/>
    <sheet name="P&amp;L" sheetId="16" state="hidden" r:id="rId16"/>
    <sheet name="bs" sheetId="17" state="hidden" r:id="rId17"/>
    <sheet name="B. Sheet" sheetId="18" state="hidden" r:id="rId18"/>
    <sheet name="notes" sheetId="19" state="hidden" r:id="rId19"/>
    <sheet name="working" sheetId="20" state="hidden" r:id="rId20"/>
    <sheet name="seg" sheetId="21" state="hidden" r:id="rId21"/>
    <sheet name="segYTD" sheetId="22" state="hidden" r:id="rId22"/>
    <sheet name="Proof of MI" sheetId="23" state="hidden" r:id="rId23"/>
    <sheet name="Proof of RE" sheetId="24" state="hidden" r:id="rId24"/>
    <sheet name="je" sheetId="25" state="hidden" r:id="rId25"/>
    <sheet name="FJK" sheetId="26" state="hidden" r:id="rId26"/>
    <sheet name="op bal" sheetId="27" state="hidden" r:id="rId27"/>
    <sheet name="Exchange" sheetId="28" state="hidden" r:id="rId28"/>
    <sheet name="Other investment" sheetId="29" state="hidden" r:id="rId29"/>
    <sheet name="reserve" sheetId="30" state="hidden" r:id="rId30"/>
    <sheet name="cnx" sheetId="31" state="hidden" r:id="rId31"/>
    <sheet name="DD" sheetId="32" state="hidden" r:id="rId32"/>
    <sheet name="goodwill" sheetId="33" state="hidden" r:id="rId33"/>
    <sheet name="segOct" sheetId="34" state="hidden" r:id="rId34"/>
    <sheet name="inter Company trasaction" sheetId="35" state="hidden" r:id="rId35"/>
    <sheet name="seg Apr" sheetId="36" state="hidden" r:id="rId36"/>
    <sheet name="Announcement" sheetId="37" state="hidden" r:id="rId37"/>
    <sheet name="disposal" sheetId="38" state="hidden" r:id="rId38"/>
    <sheet name="FA" sheetId="39" state="hidden" r:id="rId39"/>
    <sheet name="summary" sheetId="40" state="hidden" r:id="rId40"/>
    <sheet name="Announcement note" sheetId="41" state="hidden" r:id="rId41"/>
  </sheets>
  <externalReferences>
    <externalReference r:id="rId44"/>
    <externalReference r:id="rId45"/>
    <externalReference r:id="rId46"/>
    <externalReference r:id="rId47"/>
    <externalReference r:id="rId48"/>
    <externalReference r:id="rId49"/>
    <externalReference r:id="rId50"/>
    <externalReference r:id="rId51"/>
  </externalReferences>
  <definedNames>
    <definedName name="_xlnm.Print_Area" localSheetId="40">'Announcement note'!$A$1:$H$122</definedName>
    <definedName name="_xlnm.Print_Area" localSheetId="17">'B. Sheet'!$A$1:$AA$97</definedName>
    <definedName name="_xlnm.Print_Area" localSheetId="16">'bs'!$A$1:$R$88</definedName>
    <definedName name="_xlnm.Print_Area" localSheetId="3">'cf'!$A$1:$E$60</definedName>
    <definedName name="_xlnm.Print_Area" localSheetId="30">'cnx'!$A$1:$J$74</definedName>
    <definedName name="_xlnm.Print_Area" localSheetId="5">'Cond BS'!$A$1:$F$54</definedName>
    <definedName name="_xlnm.Print_Area" localSheetId="4">'Cond PL'!$A$1:$H$42</definedName>
    <definedName name="_xlnm.Print_Area" localSheetId="6">'equity'!$B$1:$I$36</definedName>
    <definedName name="_xlnm.Print_Area" localSheetId="38">'FA'!$A$1:$H$37</definedName>
    <definedName name="_xlnm.Print_Area" localSheetId="25">'FJK'!$A$1:$M$148</definedName>
    <definedName name="_xlnm.Print_Area" localSheetId="0">'FRS BS'!$A$1:$F$60</definedName>
    <definedName name="_xlnm.Print_Area" localSheetId="2">'FRS equity'!$A$1:$L$41</definedName>
    <definedName name="_xlnm.Print_Area" localSheetId="1">'FRS PL'!$B$1:$I$49</definedName>
    <definedName name="_xlnm.Print_Area" localSheetId="32">'goodwill'!$A$1:$I$46</definedName>
    <definedName name="_xlnm.Print_Area" localSheetId="24">'je'!$A$1:$P$233</definedName>
    <definedName name="_xlnm.Print_Area" localSheetId="18">'notes'!$A$1:$F$94</definedName>
    <definedName name="_xlnm.Print_Area" localSheetId="15">'P&amp;L'!$A$1:$AA$131</definedName>
    <definedName name="_xlnm.Print_Area" localSheetId="14">'pl'!$A$1:$S$73</definedName>
    <definedName name="_xlnm.Print_Area" localSheetId="29">'reserve'!$A$1:$G$144</definedName>
    <definedName name="_xlnm.Print_Area" localSheetId="35">'seg Apr'!$A$1:$O$65</definedName>
    <definedName name="_xlnm.Print_Area" localSheetId="21">'segYTD'!$A$1:$O$72</definedName>
    <definedName name="_xlnm.Print_Area" localSheetId="13">'Source'!$A$1:$G$32</definedName>
    <definedName name="_xlnm.Print_Area" localSheetId="19">'working'!$A$1:$J$101</definedName>
    <definedName name="_xlnm.Print_Titles" localSheetId="40">'Announcement note'!$1:$3</definedName>
    <definedName name="_xlnm.Print_Titles" localSheetId="16">'bs'!$1:$6</definedName>
    <definedName name="_xlnm.Print_Titles" localSheetId="24">'je'!$1:$5</definedName>
    <definedName name="_xlnm.Print_Titles" localSheetId="18">'notes'!$1:$2</definedName>
    <definedName name="_xlnm.Print_Titles" localSheetId="13">'Source'!$1:$2</definedName>
  </definedNames>
  <calcPr fullCalcOnLoad="1"/>
</workbook>
</file>

<file path=xl/comments16.xml><?xml version="1.0" encoding="utf-8"?>
<comments xmlns="http://schemas.openxmlformats.org/spreadsheetml/2006/main">
  <authors>
    <author>TCC</author>
    <author>JK users</author>
    <author> </author>
  </authors>
  <commentList>
    <comment ref="K22" authorId="0">
      <text>
        <r>
          <rPr>
            <b/>
            <sz val="8"/>
            <rFont val="Tahoma"/>
            <family val="0"/>
          </rPr>
          <t>elvina:</t>
        </r>
        <r>
          <rPr>
            <sz val="8"/>
            <rFont val="Tahoma"/>
            <family val="0"/>
          </rPr>
          <t xml:space="preserve">
inter-co: JKSWH</t>
        </r>
      </text>
    </comment>
    <comment ref="C22" authorId="0">
      <text>
        <r>
          <rPr>
            <b/>
            <sz val="8"/>
            <rFont val="Tahoma"/>
            <family val="0"/>
          </rPr>
          <t>elvina:</t>
        </r>
        <r>
          <rPr>
            <sz val="8"/>
            <rFont val="Tahoma"/>
            <family val="0"/>
          </rPr>
          <t xml:space="preserve">
third party</t>
        </r>
      </text>
    </comment>
    <comment ref="B22" authorId="0">
      <text>
        <r>
          <rPr>
            <b/>
            <sz val="8"/>
            <rFont val="Tahoma"/>
            <family val="0"/>
          </rPr>
          <t>elvina:</t>
        </r>
        <r>
          <rPr>
            <sz val="8"/>
            <rFont val="Tahoma"/>
            <family val="0"/>
          </rPr>
          <t xml:space="preserve">
JKWH</t>
        </r>
      </text>
    </comment>
    <comment ref="D22" authorId="1">
      <text>
        <r>
          <rPr>
            <b/>
            <sz val="8"/>
            <rFont val="Tahoma"/>
            <family val="0"/>
          </rPr>
          <t>JK users:</t>
        </r>
        <r>
          <rPr>
            <sz val="8"/>
            <rFont val="Tahoma"/>
            <family val="0"/>
          </rPr>
          <t xml:space="preserve">
KLLC Rental - JKWH</t>
        </r>
      </text>
    </comment>
    <comment ref="AA29" authorId="1">
      <text>
        <r>
          <rPr>
            <b/>
            <sz val="8"/>
            <rFont val="Tahoma"/>
            <family val="0"/>
          </rPr>
          <t>JK users:</t>
        </r>
        <r>
          <rPr>
            <sz val="8"/>
            <rFont val="Tahoma"/>
            <family val="0"/>
          </rPr>
          <t xml:space="preserve">
Need elimination
</t>
        </r>
      </text>
    </comment>
    <comment ref="B19" authorId="0">
      <text>
        <r>
          <rPr>
            <b/>
            <sz val="8"/>
            <rFont val="Tahoma"/>
            <family val="0"/>
          </rPr>
          <t>TCC:</t>
        </r>
        <r>
          <rPr>
            <sz val="8"/>
            <rFont val="Tahoma"/>
            <family val="0"/>
          </rPr>
          <t xml:space="preserve">
JKWH</t>
        </r>
      </text>
    </comment>
    <comment ref="I35" authorId="0">
      <text>
        <r>
          <rPr>
            <b/>
            <sz val="8"/>
            <rFont val="Tahoma"/>
            <family val="0"/>
          </rPr>
          <t>TCC:</t>
        </r>
        <r>
          <rPr>
            <sz val="8"/>
            <rFont val="Tahoma"/>
            <family val="0"/>
          </rPr>
          <t xml:space="preserve">
93,846 ?</t>
        </r>
      </text>
    </comment>
    <comment ref="E35" authorId="1">
      <text>
        <r>
          <rPr>
            <b/>
            <sz val="8"/>
            <rFont val="Tahoma"/>
            <family val="0"/>
          </rPr>
          <t>JK users:</t>
        </r>
        <r>
          <rPr>
            <sz val="8"/>
            <rFont val="Tahoma"/>
            <family val="0"/>
          </rPr>
          <t xml:space="preserve">
Discount given by horwath kl tax
</t>
        </r>
      </text>
    </comment>
    <comment ref="S5" authorId="2">
      <text>
        <r>
          <rPr>
            <sz val="8"/>
            <rFont val="Tahoma"/>
            <family val="0"/>
          </rPr>
          <t xml:space="preserve">share up to the date of disposal. Should have figure.
</t>
        </r>
      </text>
    </comment>
    <comment ref="R5" authorId="2">
      <text>
        <r>
          <rPr>
            <sz val="8"/>
            <rFont val="Tahoma"/>
            <family val="0"/>
          </rPr>
          <t xml:space="preserve">share up to the date of disposal. Should have figure.
</t>
        </r>
      </text>
    </comment>
  </commentList>
</comments>
</file>

<file path=xl/comments18.xml><?xml version="1.0" encoding="utf-8"?>
<comments xmlns="http://schemas.openxmlformats.org/spreadsheetml/2006/main">
  <authors>
    <author>JK users</author>
    <author>TCC</author>
    <author>pui shez</author>
    <author> </author>
  </authors>
  <commentList>
    <comment ref="AB18" authorId="0">
      <text>
        <r>
          <rPr>
            <b/>
            <sz val="8"/>
            <rFont val="Tahoma"/>
            <family val="0"/>
          </rPr>
          <t>JK users:</t>
        </r>
        <r>
          <rPr>
            <sz val="8"/>
            <rFont val="Tahoma"/>
            <family val="0"/>
          </rPr>
          <t xml:space="preserve">
The impairment for subsidiary making loss
</t>
        </r>
      </text>
    </comment>
    <comment ref="B9" authorId="1">
      <text>
        <r>
          <rPr>
            <b/>
            <sz val="8"/>
            <rFont val="Tahoma"/>
            <family val="0"/>
          </rPr>
          <t>TCC:</t>
        </r>
        <r>
          <rPr>
            <sz val="8"/>
            <rFont val="Tahoma"/>
            <family val="0"/>
          </rPr>
          <t xml:space="preserve">
any impairment issue?</t>
        </r>
      </text>
    </comment>
    <comment ref="D9" authorId="1">
      <text>
        <r>
          <rPr>
            <b/>
            <sz val="8"/>
            <rFont val="Tahoma"/>
            <family val="0"/>
          </rPr>
          <t>TCC:</t>
        </r>
        <r>
          <rPr>
            <sz val="8"/>
            <rFont val="Tahoma"/>
            <family val="0"/>
          </rPr>
          <t xml:space="preserve">
any impairment required?</t>
        </r>
      </text>
    </comment>
    <comment ref="D37" authorId="1">
      <text>
        <r>
          <rPr>
            <b/>
            <sz val="8"/>
            <rFont val="Tahoma"/>
            <family val="0"/>
          </rPr>
          <t>TCC:</t>
        </r>
        <r>
          <rPr>
            <sz val="8"/>
            <rFont val="Tahoma"/>
            <family val="0"/>
          </rPr>
          <t xml:space="preserve">
any recoverability issue?</t>
        </r>
      </text>
    </comment>
    <comment ref="C9" authorId="1">
      <text>
        <r>
          <rPr>
            <b/>
            <sz val="8"/>
            <rFont val="Tahoma"/>
            <family val="0"/>
          </rPr>
          <t>TCC:</t>
        </r>
        <r>
          <rPr>
            <sz val="8"/>
            <rFont val="Tahoma"/>
            <family val="0"/>
          </rPr>
          <t xml:space="preserve">
any impairment issues?</t>
        </r>
      </text>
    </comment>
    <comment ref="S13" authorId="2">
      <text>
        <r>
          <rPr>
            <b/>
            <sz val="8"/>
            <rFont val="Tahoma"/>
            <family val="0"/>
          </rPr>
          <t>diff from last quarter by RM82k (not stated in accounts).</t>
        </r>
        <r>
          <rPr>
            <sz val="8"/>
            <rFont val="Tahoma"/>
            <family val="0"/>
          </rPr>
          <t xml:space="preserve">
</t>
        </r>
      </text>
    </comment>
    <comment ref="Z54" authorId="3">
      <text>
        <r>
          <rPr>
            <sz val="8"/>
            <rFont val="Tahoma"/>
            <family val="0"/>
          </rPr>
          <t xml:space="preserve">It should be RM2,000,000
</t>
        </r>
      </text>
    </comment>
    <comment ref="Z55" authorId="3">
      <text>
        <r>
          <rPr>
            <b/>
            <sz val="8"/>
            <rFont val="Tahoma"/>
            <family val="0"/>
          </rPr>
          <t xml:space="preserve"> :</t>
        </r>
        <r>
          <rPr>
            <sz val="8"/>
            <rFont val="Tahoma"/>
            <family val="0"/>
          </rPr>
          <t xml:space="preserve">
IT should be RM1,140,000</t>
        </r>
      </text>
    </comment>
  </commentList>
</comments>
</file>

<file path=xl/comments19.xml><?xml version="1.0" encoding="utf-8"?>
<comments xmlns="http://schemas.openxmlformats.org/spreadsheetml/2006/main">
  <authors>
    <author>Juan Kuang (M) Indastrial Bhd</author>
  </authors>
  <commentList>
    <comment ref="H7" authorId="0">
      <text>
        <r>
          <rPr>
            <sz val="8"/>
            <rFont val="Tahoma"/>
            <family val="2"/>
          </rPr>
          <t>SBB - RM2,593.77</t>
        </r>
        <r>
          <rPr>
            <sz val="8"/>
            <rFont val="Tahoma"/>
            <family val="0"/>
          </rPr>
          <t xml:space="preserve">
HSBC - RM150K</t>
        </r>
      </text>
    </comment>
    <comment ref="H8" authorId="0">
      <text>
        <r>
          <rPr>
            <sz val="8"/>
            <rFont val="Tahoma"/>
            <family val="2"/>
          </rPr>
          <t>UOB - RM25K
RHB - RM235K</t>
        </r>
      </text>
    </comment>
  </commentList>
</comments>
</file>

<file path=xl/comments20.xml><?xml version="1.0" encoding="utf-8"?>
<comments xmlns="http://schemas.openxmlformats.org/spreadsheetml/2006/main">
  <authors>
    <author>SHYong</author>
  </authors>
  <commentList>
    <comment ref="C30" authorId="0">
      <text>
        <r>
          <rPr>
            <b/>
            <sz val="8"/>
            <rFont val="Tahoma"/>
            <family val="0"/>
          </rPr>
          <t>SHYong:</t>
        </r>
        <r>
          <rPr>
            <sz val="8"/>
            <rFont val="Tahoma"/>
            <family val="0"/>
          </rPr>
          <t xml:space="preserve">
it should be 1,194,552</t>
        </r>
      </text>
    </comment>
  </commentList>
</comments>
</file>

<file path=xl/comments25.xml><?xml version="1.0" encoding="utf-8"?>
<comments xmlns="http://schemas.openxmlformats.org/spreadsheetml/2006/main">
  <authors>
    <author>JK Users</author>
    <author> </author>
  </authors>
  <commentList>
    <comment ref="C56" authorId="0">
      <text>
        <r>
          <rPr>
            <sz val="8"/>
            <rFont val="Tahoma"/>
            <family val="0"/>
          </rPr>
          <t xml:space="preserve">deducted rental to outsiders :-
- Eureka - RM8,100
- JK PSD - RM6,300
</t>
        </r>
      </text>
    </comment>
    <comment ref="C134" authorId="1">
      <text>
        <r>
          <rPr>
            <b/>
            <sz val="8"/>
            <rFont val="Tahoma"/>
            <family val="0"/>
          </rPr>
          <t>86,400+?</t>
        </r>
        <r>
          <rPr>
            <sz val="8"/>
            <rFont val="Tahoma"/>
            <family val="0"/>
          </rPr>
          <t xml:space="preserve">
</t>
        </r>
      </text>
    </comment>
    <comment ref="C139" authorId="1">
      <text>
        <r>
          <rPr>
            <b/>
            <sz val="8"/>
            <rFont val="Tahoma"/>
            <family val="2"/>
          </rPr>
          <t xml:space="preserve">57,600+?
</t>
        </r>
      </text>
    </comment>
  </commentList>
</comments>
</file>

<file path=xl/comments26.xml><?xml version="1.0" encoding="utf-8"?>
<comments xmlns="http://schemas.openxmlformats.org/spreadsheetml/2006/main">
  <authors>
    <author> </author>
  </authors>
  <commentList>
    <comment ref="H70" authorId="0">
      <text>
        <r>
          <rPr>
            <sz val="8"/>
            <rFont val="Tahoma"/>
            <family val="0"/>
          </rPr>
          <t xml:space="preserve">once the rate has been changed, this figure will change also.
</t>
        </r>
      </text>
    </comment>
  </commentList>
</comments>
</file>

<file path=xl/comments27.xml><?xml version="1.0" encoding="utf-8"?>
<comments xmlns="http://schemas.openxmlformats.org/spreadsheetml/2006/main">
  <authors>
    <author>JK users</author>
  </authors>
  <commentList>
    <comment ref="X32" authorId="0">
      <text>
        <r>
          <rPr>
            <b/>
            <sz val="8"/>
            <rFont val="Tahoma"/>
            <family val="0"/>
          </rPr>
          <t>JK users:</t>
        </r>
        <r>
          <rPr>
            <sz val="8"/>
            <rFont val="Tahoma"/>
            <family val="0"/>
          </rPr>
          <t xml:space="preserve">
wait
</t>
        </r>
      </text>
    </comment>
  </commentList>
</comments>
</file>

<file path=xl/comments31.xml><?xml version="1.0" encoding="utf-8"?>
<comments xmlns="http://schemas.openxmlformats.org/spreadsheetml/2006/main">
  <authors>
    <author> </author>
  </authors>
  <commentList>
    <comment ref="G16" authorId="0">
      <text>
        <r>
          <rPr>
            <b/>
            <sz val="8"/>
            <rFont val="Tahoma"/>
            <family val="0"/>
          </rPr>
          <t xml:space="preserve"> :</t>
        </r>
        <r>
          <rPr>
            <sz val="8"/>
            <rFont val="Tahoma"/>
            <family val="0"/>
          </rPr>
          <t xml:space="preserve">
</t>
        </r>
      </text>
    </comment>
    <comment ref="G40" authorId="0">
      <text>
        <r>
          <rPr>
            <b/>
            <sz val="8"/>
            <rFont val="Tahoma"/>
            <family val="0"/>
          </rPr>
          <t xml:space="preserve"> :</t>
        </r>
        <r>
          <rPr>
            <sz val="8"/>
            <rFont val="Tahoma"/>
            <family val="0"/>
          </rPr>
          <t xml:space="preserve">
</t>
        </r>
      </text>
    </comment>
  </commentList>
</comments>
</file>

<file path=xl/comments33.xml><?xml version="1.0" encoding="utf-8"?>
<comments xmlns="http://schemas.openxmlformats.org/spreadsheetml/2006/main">
  <authors>
    <author> </author>
  </authors>
  <commentList>
    <comment ref="G19" authorId="0">
      <text>
        <r>
          <rPr>
            <sz val="8"/>
            <rFont val="Tahoma"/>
            <family val="0"/>
          </rPr>
          <t xml:space="preserve">it should be RM3,233. Please reinstate.
</t>
        </r>
      </text>
    </comment>
    <comment ref="G20" authorId="0">
      <text>
        <r>
          <rPr>
            <sz val="8"/>
            <rFont val="Tahoma"/>
            <family val="0"/>
          </rPr>
          <t xml:space="preserve">This would change to RM896,040
</t>
        </r>
      </text>
    </comment>
  </commentList>
</comments>
</file>

<file path=xl/comments5.xml><?xml version="1.0" encoding="utf-8"?>
<comments xmlns="http://schemas.openxmlformats.org/spreadsheetml/2006/main">
  <authors>
    <author>JK users</author>
  </authors>
  <commentList>
    <comment ref="B15" authorId="0">
      <text>
        <r>
          <rPr>
            <b/>
            <sz val="8"/>
            <rFont val="Tahoma"/>
            <family val="0"/>
          </rPr>
          <t>JK users:</t>
        </r>
        <r>
          <rPr>
            <sz val="8"/>
            <rFont val="Tahoma"/>
            <family val="0"/>
          </rPr>
          <t xml:space="preserve">
the Recovery of Elanta amounted to RM 874.114K had been reclassed by the auditor to offset against COS.
</t>
        </r>
      </text>
    </comment>
  </commentList>
</comments>
</file>

<file path=xl/sharedStrings.xml><?xml version="1.0" encoding="utf-8"?>
<sst xmlns="http://schemas.openxmlformats.org/spreadsheetml/2006/main" count="2788" uniqueCount="1645">
  <si>
    <t>Realised on disposal of shares</t>
  </si>
  <si>
    <t xml:space="preserve">Fixed Assets </t>
  </si>
  <si>
    <t>Purchased</t>
  </si>
  <si>
    <t>Sales Proceeds</t>
  </si>
  <si>
    <t>Pre-Acq Loss</t>
  </si>
  <si>
    <t>Revaluation reserves</t>
  </si>
  <si>
    <t xml:space="preserve">Retained Profit - MI </t>
  </si>
  <si>
    <t xml:space="preserve"> - Prov for diminution in value of investment</t>
  </si>
  <si>
    <t>cje 23: Prov for diminution in value of investment &amp; DD (JKM)</t>
  </si>
  <si>
    <t xml:space="preserve"> - Dividend payable</t>
  </si>
  <si>
    <t>Revenue :</t>
  </si>
  <si>
    <t>Total revenue</t>
  </si>
  <si>
    <t>Investment holding &amp; others</t>
  </si>
  <si>
    <t>Results :</t>
  </si>
  <si>
    <t>Segment results (external)</t>
  </si>
  <si>
    <t>Share of results of associate</t>
  </si>
  <si>
    <t>Profit from ordinary activities before taxation</t>
  </si>
  <si>
    <t xml:space="preserve">Purchase of property, plant and equipment  </t>
  </si>
  <si>
    <t>Profit from ordinary activities after taxation</t>
  </si>
  <si>
    <t>Minority interest</t>
  </si>
  <si>
    <t>Net profit for the period</t>
  </si>
  <si>
    <t>Other information</t>
  </si>
  <si>
    <t>Segment assets</t>
  </si>
  <si>
    <t>Segment liabilities</t>
  </si>
  <si>
    <t>Unallocated liabilities</t>
  </si>
  <si>
    <t>Capital expenditure</t>
  </si>
  <si>
    <t>Depreciation and amortisation</t>
  </si>
  <si>
    <t>Realise of Revaluation Reserve</t>
  </si>
  <si>
    <t>Juan Kuang(M) Industrial Bhd. - Reconciliation of inter company sales &amp; purchases (Net purchases)</t>
  </si>
  <si>
    <t>Sales to/(pur. fr)</t>
  </si>
  <si>
    <t>JKS</t>
  </si>
  <si>
    <t>SYNLUX</t>
  </si>
  <si>
    <t>CHECK</t>
  </si>
  <si>
    <t>Purchases</t>
  </si>
  <si>
    <t>Sales Tax</t>
  </si>
  <si>
    <t>Goodwill written off</t>
  </si>
  <si>
    <t>(Being share of net assets of associate co - Fujian JK Wire - 25%)</t>
  </si>
  <si>
    <t>(Being reversal of prior year adj - gain on disposal of Factory Buildings)</t>
  </si>
  <si>
    <t>Expenses</t>
  </si>
  <si>
    <t>Addition during the year</t>
  </si>
  <si>
    <t>Management Fees</t>
  </si>
  <si>
    <t>(Being reversal of prior year proposed dividend - B/S)</t>
  </si>
  <si>
    <t>Dividend income - p/y</t>
  </si>
  <si>
    <t>MERIT</t>
  </si>
  <si>
    <t xml:space="preserve">Dividend income </t>
  </si>
  <si>
    <t>(-)  CJE 25</t>
  </si>
  <si>
    <t>(-)  CJE 26</t>
  </si>
  <si>
    <t>Reinstate of revaluation reserves</t>
  </si>
  <si>
    <t>cje 26 : Reinstate of revaluation reserve</t>
  </si>
  <si>
    <t>cje 25: Reinstate of gain on disposal of Factory Buildings</t>
  </si>
  <si>
    <t>Reinstate of gain on disposal of Factory Building</t>
  </si>
  <si>
    <t>YE03 add</t>
  </si>
  <si>
    <t>YE2003</t>
  </si>
  <si>
    <t xml:space="preserve">Dividend expense </t>
  </si>
  <si>
    <t>Dividend income - p/y (under stated)</t>
  </si>
  <si>
    <t>Issuance of shares</t>
  </si>
  <si>
    <t>Transfer from retained profit to capital reverse</t>
  </si>
  <si>
    <t>Accumulated Losses</t>
  </si>
  <si>
    <t>Consolidation Elimination Entries (As At 31/07/2006)</t>
  </si>
  <si>
    <t>Accumulated</t>
  </si>
  <si>
    <t>As at 31/01/07</t>
  </si>
  <si>
    <t>as at 31/01/2007</t>
  </si>
  <si>
    <t>@31/10/2006</t>
  </si>
  <si>
    <t xml:space="preserve"> Losses</t>
  </si>
  <si>
    <t>B13</t>
  </si>
  <si>
    <t>Earnings/(Loss) per share</t>
  </si>
  <si>
    <t>(a)</t>
  </si>
  <si>
    <t>Basic Earning/(Loss) per share</t>
  </si>
  <si>
    <t>Net Profit/(Loss) attributed to ordinary</t>
  </si>
  <si>
    <t>shareholders (RM'000)</t>
  </si>
  <si>
    <t>ended</t>
  </si>
  <si>
    <t>Weighted average number of ordinary</t>
  </si>
  <si>
    <t>shares in issue ('000)</t>
  </si>
  <si>
    <t>Basic Earnings/(Loss) per share (sen)</t>
  </si>
  <si>
    <t>(b)</t>
  </si>
  <si>
    <t>Diluted Earning/(Loss) per share</t>
  </si>
  <si>
    <t xml:space="preserve">Net Earnings/(Loss) attributed to ordinary </t>
  </si>
  <si>
    <t>Adjustment for options ('000)</t>
  </si>
  <si>
    <t>Diluted Earnings/(Loss) per share (sen)</t>
  </si>
  <si>
    <t>Wire Harness Processing Fees</t>
  </si>
  <si>
    <t>(Working Capital) =  Cash + Stock + Trade debtors - S/Term borrowing - Trade creditors</t>
  </si>
  <si>
    <t>CJE 27</t>
  </si>
  <si>
    <t>Being eliminate the inter-co transaction :-</t>
  </si>
  <si>
    <t>DD written off - Ihsan Indah</t>
  </si>
  <si>
    <t>DD written off - Ihsan Indah - P/L b/f</t>
  </si>
  <si>
    <t>(+) CJE 27</t>
  </si>
  <si>
    <t>Share of ass co. - FJK &amp; Meridianotch current year profit</t>
  </si>
  <si>
    <t>Doubtful Debt written off - Ihsan Indah</t>
  </si>
  <si>
    <t>(Being reversal of prior year adj - reinstated of revaluation reserves on consol.)</t>
  </si>
  <si>
    <t>Balance at 1 February 2006</t>
  </si>
  <si>
    <t>Balance as at          31 Jan 2006</t>
  </si>
  <si>
    <t>AUDIT FOR THE YEAR ENDED 30TH APRIL 2006</t>
  </si>
  <si>
    <t>FOR THE YEAR ENDED 30 APR 2006</t>
  </si>
  <si>
    <t>cje 27 : Reinstate of doubtful debts written off - Ihsan Indah</t>
  </si>
  <si>
    <t>01/03/07</t>
  </si>
  <si>
    <t>Net Profit(Loss) after tax</t>
  </si>
  <si>
    <t>Rights Issue</t>
  </si>
  <si>
    <t>bal. c/f</t>
  </si>
  <si>
    <t>bal. b/f</t>
  </si>
  <si>
    <t>Other investment</t>
  </si>
  <si>
    <t>IT Bizflow</t>
  </si>
  <si>
    <t>Issue of new shares for cash</t>
  </si>
  <si>
    <t>CJE 33</t>
  </si>
  <si>
    <t>Ass co-Meridianoch</t>
  </si>
  <si>
    <t>CY Loss</t>
  </si>
  <si>
    <t xml:space="preserve">Cost of investment </t>
  </si>
  <si>
    <t>(Being share of net assets of associate co - Meridianoch - 50%)</t>
  </si>
  <si>
    <t>Gain/(Loss) on disposal of sub. Co.</t>
  </si>
  <si>
    <t>Weighted average number of shares:</t>
  </si>
  <si>
    <t>Weighted average number of shares</t>
  </si>
  <si>
    <t>1 Feb 2005</t>
  </si>
  <si>
    <t>28 Apr 2005</t>
  </si>
  <si>
    <t>30 Dec 2005</t>
  </si>
  <si>
    <t>53,020,000 x 12/12</t>
  </si>
  <si>
    <t>*</t>
  </si>
  <si>
    <t>As at 31 January 2007</t>
  </si>
  <si>
    <t>31-Jan 2007</t>
  </si>
  <si>
    <t>For the period ended 31 January 2007</t>
  </si>
  <si>
    <t xml:space="preserve">3 months ended 31 Jan </t>
  </si>
  <si>
    <t>12 months ended 31 Jan</t>
  </si>
  <si>
    <t>Allowance for diminution in value of quoted shares</t>
  </si>
  <si>
    <t>Writeback on allowance for doubtful debts</t>
  </si>
  <si>
    <t>Dividend paid to minority shareholders</t>
  </si>
  <si>
    <t>For the 12 months period ended 31 January 2007</t>
  </si>
  <si>
    <t>For the 12 months ended 31 January 2007</t>
  </si>
  <si>
    <t>12 months ended 31 January 2006</t>
  </si>
  <si>
    <t>12 months ended 31 January 2007</t>
  </si>
  <si>
    <t>Balance at 31 January 2006</t>
  </si>
  <si>
    <t>For the financial year ended 31 January 2007</t>
  </si>
  <si>
    <t>Balance at 31 January 2007</t>
  </si>
  <si>
    <t xml:space="preserve">*        Assumed date of exercise of the ESOS is the date of issue of the option, i.e. 30.12.2005. </t>
  </si>
  <si>
    <t>Number of shares under ESOS</t>
  </si>
  <si>
    <t>Number of shares that would have been issued at fair value</t>
  </si>
  <si>
    <t>Share price</t>
  </si>
  <si>
    <t>(a)*(b)</t>
  </si>
  <si>
    <t>Open</t>
  </si>
  <si>
    <t>High</t>
  </si>
  <si>
    <t>Low</t>
  </si>
  <si>
    <t>Close</t>
  </si>
  <si>
    <t>Volume</t>
  </si>
  <si>
    <t>Weighted average of share price</t>
  </si>
  <si>
    <t xml:space="preserve">Note: </t>
  </si>
  <si>
    <t>Information extracted from "The Star" newspaper</t>
  </si>
  <si>
    <t>30 Dec 05 (Fri)</t>
  </si>
  <si>
    <t>23 Jan 06 (Mon)</t>
  </si>
  <si>
    <t>2 Jan 06 (Mon)</t>
  </si>
  <si>
    <t>3 Jan 06 (Tue)</t>
  </si>
  <si>
    <t>4 Jan 06 (Wed)</t>
  </si>
  <si>
    <t>5 Jan 06 (Thu)</t>
  </si>
  <si>
    <t>6 Jan 06 (Fri)</t>
  </si>
  <si>
    <t>9 Jan 06 (Mon)</t>
  </si>
  <si>
    <t>10 Jan 06 (Tue)</t>
  </si>
  <si>
    <t>CNX Sol</t>
  </si>
  <si>
    <t>11 Jan 06 (Wed)</t>
  </si>
  <si>
    <t>12 Jan 06 (Thu)</t>
  </si>
  <si>
    <t>13 Jan 06 (Fri)</t>
  </si>
  <si>
    <t>16 Jan 06 (Mon)</t>
  </si>
  <si>
    <t>17 Jan 06 (Tue)</t>
  </si>
  <si>
    <t>18 Jan 06 (Wed)</t>
  </si>
  <si>
    <t>19 Jan 06 (Thu)</t>
  </si>
  <si>
    <t>20 Jan 06 (Fri)</t>
  </si>
  <si>
    <t xml:space="preserve"> - Consol Adj - FJK &amp; MR c/year profit</t>
  </si>
  <si>
    <t>CJE 35</t>
  </si>
  <si>
    <t xml:space="preserve">Investment in Ass. Co. </t>
  </si>
  <si>
    <t>24 Jan 06 (Tue)</t>
  </si>
  <si>
    <t>25 Jan 06 (Wed)</t>
  </si>
  <si>
    <t>26 Jan 06 (Thu)</t>
  </si>
  <si>
    <t>27 Jan 06 (Fri)</t>
  </si>
  <si>
    <t>29 Jan 06 (Mon)</t>
  </si>
  <si>
    <t>30 Jan 06 (Tue)</t>
  </si>
  <si>
    <t>31 Jan 06 (Wed)</t>
  </si>
  <si>
    <t>Number of shares deemed to have been issued for no consideration</t>
  </si>
  <si>
    <t>Net profit attributable to members of the Company</t>
  </si>
  <si>
    <t>As per Horwath extended Income Statement</t>
  </si>
  <si>
    <t xml:space="preserve">Less : sales </t>
  </si>
  <si>
    <t xml:space="preserve">          provision for taxation for Y/A 2007</t>
  </si>
  <si>
    <t>As per consolidation Income statement above</t>
  </si>
  <si>
    <t>A</t>
  </si>
  <si>
    <t>B</t>
  </si>
  <si>
    <t>C</t>
  </si>
  <si>
    <t>shares for Diluted Earnings/(Loss) per</t>
  </si>
  <si>
    <t>share ('000)</t>
  </si>
  <si>
    <t xml:space="preserve">  @ 5,374,476 +17,045,134 + 84,103,252.25</t>
  </si>
  <si>
    <t>seg Apr + seg Jul + seg Oct + seg Jan</t>
  </si>
  <si>
    <t>Taxation over / (under) provision</t>
  </si>
  <si>
    <t>Doubtful debts recovered</t>
  </si>
  <si>
    <t>HQ Expenses Reimbursement</t>
  </si>
  <si>
    <t>Interest income - holding company</t>
  </si>
  <si>
    <t>CNX Solutions</t>
  </si>
  <si>
    <t>Proceeds from issuance of shares</t>
  </si>
  <si>
    <t>Bank overdrafts</t>
  </si>
  <si>
    <t>Cash &amp; bank balances</t>
  </si>
  <si>
    <t>Fixed deposits with licensed banks</t>
  </si>
  <si>
    <t>CNX</t>
  </si>
  <si>
    <t>cje 30: Revesal of DD</t>
  </si>
  <si>
    <t>cje 31: Elimination of impairment of investment in subsi</t>
  </si>
  <si>
    <t>cje 21: Reversal of Current year proposed dividend</t>
  </si>
  <si>
    <t xml:space="preserve"> - Deposit written off</t>
  </si>
  <si>
    <t>Provision for liqudated damages</t>
  </si>
  <si>
    <t>31/07/2005</t>
  </si>
  <si>
    <t>Admin Exp</t>
  </si>
  <si>
    <t xml:space="preserve">Finance Cost </t>
  </si>
  <si>
    <t>Tax Exp</t>
  </si>
  <si>
    <t>Prov for liquidated damages</t>
  </si>
  <si>
    <t xml:space="preserve"> - Taxation</t>
  </si>
  <si>
    <t xml:space="preserve"> - Prov for liquidated damages</t>
  </si>
  <si>
    <t xml:space="preserve"> - Subsidiaries co</t>
  </si>
  <si>
    <t xml:space="preserve"> - Immediate Holding</t>
  </si>
  <si>
    <t>CJE 28</t>
  </si>
  <si>
    <t>CNX SOLUTIONS</t>
  </si>
  <si>
    <t>(+) CJE 28</t>
  </si>
  <si>
    <t>cje 28 : Adjustment on Retained Earnings - MI portion - CNX</t>
  </si>
  <si>
    <t xml:space="preserve">Weighted average number of shares </t>
  </si>
  <si>
    <t>Minority Interest</t>
  </si>
  <si>
    <t>FOR THE MONTH ENDED 31ST JANUARY 2007</t>
  </si>
  <si>
    <t xml:space="preserve"> Retained Earnings</t>
  </si>
  <si>
    <t>Distributable</t>
  </si>
  <si>
    <t>Attributable to Equity Holders of the Parent</t>
  </si>
  <si>
    <t>Non Distributable</t>
  </si>
  <si>
    <t>CJE 28: Adjustment on Retained Earnings - CNX</t>
  </si>
  <si>
    <t xml:space="preserve">Interest saving - JK WH </t>
  </si>
  <si>
    <t>CNX Solution</t>
  </si>
  <si>
    <t>cje 29</t>
  </si>
  <si>
    <t>Transfer from Revaluation Reserve to Deferred Taxation</t>
  </si>
  <si>
    <t>Disposed out but pending for</t>
  </si>
  <si>
    <t>buyers to pay</t>
  </si>
  <si>
    <t>Actual paid (extract from draft audited a/c)</t>
  </si>
  <si>
    <t>JK Klang - refund</t>
  </si>
  <si>
    <t>Currrent Year Taxation</t>
  </si>
  <si>
    <t>Gain on disposal</t>
  </si>
  <si>
    <t>Addition</t>
  </si>
  <si>
    <t>Disposal</t>
  </si>
  <si>
    <t>Sales Proceed</t>
  </si>
  <si>
    <t>Written of</t>
  </si>
  <si>
    <t>include JK KL's shophouse</t>
  </si>
  <si>
    <t>include CNX</t>
  </si>
  <si>
    <t xml:space="preserve">JK KL </t>
  </si>
  <si>
    <t>Net repayment</t>
  </si>
  <si>
    <t>short term borrowings - repayment</t>
  </si>
  <si>
    <t>Term Loans - drawdown / (repayment)</t>
  </si>
  <si>
    <t xml:space="preserve">JKM </t>
  </si>
  <si>
    <t>YE2004</t>
  </si>
  <si>
    <t xml:space="preserve">Investment Property </t>
  </si>
  <si>
    <t>write down in value</t>
  </si>
  <si>
    <t>JKM - refund</t>
  </si>
  <si>
    <t>JKM - real property gain tax</t>
  </si>
  <si>
    <t>Sales &amp; other income :-</t>
  </si>
  <si>
    <t>Proposed Dividend</t>
  </si>
  <si>
    <t>Consol Adj</t>
  </si>
  <si>
    <t xml:space="preserve"> - Prov for losses</t>
  </si>
  <si>
    <t>The Company</t>
  </si>
  <si>
    <t>The Group</t>
  </si>
  <si>
    <t>Realisation of revaluation</t>
  </si>
  <si>
    <t>Loss after taxation for the financial year</t>
  </si>
  <si>
    <t>Prov for  DD</t>
  </si>
  <si>
    <t>There is no additional purchase of quoted securities during the financial period under review.</t>
  </si>
  <si>
    <t>Profit after taxation for the financial year</t>
  </si>
  <si>
    <t>Software</t>
  </si>
  <si>
    <t>CJE 31</t>
  </si>
  <si>
    <t>Impairment in value</t>
  </si>
  <si>
    <t>Investment in subsidiaries - JK Power</t>
  </si>
  <si>
    <t>(Being elimination of impairment in value of investm in subsi)</t>
  </si>
  <si>
    <t xml:space="preserve">                                                                                                                                                                                                                                                                                                  </t>
  </si>
  <si>
    <t>Quarter 4 (Feb'04 - Jan'05)</t>
  </si>
  <si>
    <t>Loan from / (to) JKM</t>
  </si>
  <si>
    <t>cje 30</t>
  </si>
  <si>
    <t>Net Profit Before Int, Mgt Fees, Depn &amp; Tax</t>
  </si>
  <si>
    <t>Depreciation - Manufacturer</t>
  </si>
  <si>
    <t>Depreciation - Trading</t>
  </si>
  <si>
    <t>Depreciation - Investment holding &amp; others</t>
  </si>
  <si>
    <t>Transfer from revaluation reserve to deferred taxation</t>
  </si>
  <si>
    <t>C NX Software</t>
  </si>
  <si>
    <t>cje20</t>
  </si>
  <si>
    <t>CNX SOFTWARE</t>
  </si>
  <si>
    <t>.</t>
  </si>
  <si>
    <t>CJE 29</t>
  </si>
  <si>
    <t xml:space="preserve">Investment cost </t>
  </si>
  <si>
    <t>CJE 30</t>
  </si>
  <si>
    <t>01.01.2006 - 1 mth</t>
  </si>
  <si>
    <t>MI - Share cap in JK Lamps</t>
  </si>
  <si>
    <t>MI -  Retain Earning  in JK Lamps b/f</t>
  </si>
  <si>
    <t>MI- Current Year Share of loss</t>
  </si>
  <si>
    <t>Goodwill on Consolidation</t>
  </si>
  <si>
    <t>Consolidated Statement of Changes in Equity</t>
  </si>
  <si>
    <t>Prov for DD-P/L</t>
  </si>
  <si>
    <t>Immaterial, leave</t>
  </si>
  <si>
    <t>Revaluation of JK SWH</t>
  </si>
  <si>
    <t>CNX Software</t>
  </si>
  <si>
    <t xml:space="preserve"> - Related companies</t>
  </si>
  <si>
    <t>Juan Kuang (M) Industrial Berhad and its subsidiaries</t>
  </si>
  <si>
    <t>Property, plant and equipment</t>
  </si>
  <si>
    <t>Synlux E</t>
  </si>
  <si>
    <t>JKSWH</t>
  </si>
  <si>
    <t>Ihsan</t>
  </si>
  <si>
    <t>CNX Soft</t>
  </si>
  <si>
    <t>Consol Adjustments</t>
  </si>
  <si>
    <t>Consol adjustments</t>
  </si>
  <si>
    <t>Net profit/(loss) attributable to members of the Company</t>
  </si>
  <si>
    <t>Note:</t>
  </si>
  <si>
    <t>Income tax (paid)/refunded</t>
  </si>
  <si>
    <t>Meridianotch</t>
  </si>
  <si>
    <t xml:space="preserve">AAN-JK Wire </t>
  </si>
  <si>
    <t>Dividend income - c/y</t>
  </si>
  <si>
    <t xml:space="preserve"> - Consol Adj - Goodwill amortn/Neg Gw w/off</t>
  </si>
  <si>
    <t>CJE 9,28,30</t>
  </si>
  <si>
    <t>Capital Reserves - FYE2005</t>
  </si>
  <si>
    <t>P&amp;L B/F - FYE2005</t>
  </si>
  <si>
    <t>(Being purchase of JK Lamps 16% Shares)</t>
  </si>
  <si>
    <t>Prov for DD-P/L b/f</t>
  </si>
  <si>
    <t>(Being reversal of prior year adj - JKKL)</t>
  </si>
  <si>
    <t>Prov for double debts - JKKL</t>
  </si>
  <si>
    <t>cje 28: Prov for doubtful debts (JKKL)</t>
  </si>
  <si>
    <t>Share Capital</t>
  </si>
  <si>
    <t>Retained Profit b/f</t>
  </si>
  <si>
    <t>Retained Profit c/y</t>
  </si>
  <si>
    <t>No.</t>
  </si>
  <si>
    <t xml:space="preserve">Subsidiaries </t>
  </si>
  <si>
    <t>RM</t>
  </si>
  <si>
    <t>JKM</t>
  </si>
  <si>
    <t>JK Johor</t>
  </si>
  <si>
    <t>JK Penang</t>
  </si>
  <si>
    <t>JK Klang</t>
  </si>
  <si>
    <t>JK Kuantan</t>
  </si>
  <si>
    <t>JK EA</t>
  </si>
  <si>
    <t>Synlux Energy</t>
  </si>
  <si>
    <t>Ihsan Indah</t>
  </si>
  <si>
    <t>Synlux Ind (M)</t>
  </si>
  <si>
    <t>Eureka Fortune</t>
  </si>
  <si>
    <t>Merit Profile</t>
  </si>
  <si>
    <t>Total</t>
  </si>
  <si>
    <t>Conso. Adjustment</t>
  </si>
  <si>
    <t>JK KL</t>
  </si>
  <si>
    <t>JK Lamps</t>
  </si>
  <si>
    <t>JK WH</t>
  </si>
  <si>
    <t xml:space="preserve">JK Sumi </t>
  </si>
  <si>
    <t>AAN JK WH</t>
  </si>
  <si>
    <t>JK Power</t>
  </si>
  <si>
    <t>MI ( %)</t>
  </si>
  <si>
    <t>Share Capital - MI</t>
  </si>
  <si>
    <t>Share Capital - JKM</t>
  </si>
  <si>
    <t>Share of MI - RE b/f</t>
  </si>
  <si>
    <t>Share of MI - RE c/y</t>
  </si>
  <si>
    <t>Reserves</t>
  </si>
  <si>
    <t>Reserves - MI</t>
  </si>
  <si>
    <t>MI shares</t>
  </si>
  <si>
    <t>Conso. Ajustment</t>
  </si>
  <si>
    <t>MI portion</t>
  </si>
  <si>
    <t>Retained Earning b/f</t>
  </si>
  <si>
    <t>Shares of FJK b/f</t>
  </si>
  <si>
    <t>Deferred Tax</t>
  </si>
  <si>
    <t>JK Sumi</t>
  </si>
  <si>
    <t>%</t>
  </si>
  <si>
    <t>C1</t>
  </si>
  <si>
    <t>C2</t>
  </si>
  <si>
    <t>C3</t>
  </si>
  <si>
    <t>C4</t>
  </si>
  <si>
    <t>C5</t>
  </si>
  <si>
    <t>C6</t>
  </si>
  <si>
    <t>C7</t>
  </si>
  <si>
    <t>C8</t>
  </si>
  <si>
    <t>C9</t>
  </si>
  <si>
    <t>C10</t>
  </si>
  <si>
    <t>(b) Investments in quoted shares as at 31 Oct 2006</t>
  </si>
  <si>
    <t>C11</t>
  </si>
  <si>
    <t>C12</t>
  </si>
  <si>
    <t>DR</t>
  </si>
  <si>
    <t>CR</t>
  </si>
  <si>
    <t xml:space="preserve">Share </t>
  </si>
  <si>
    <t xml:space="preserve">Cost of </t>
  </si>
  <si>
    <t>MI</t>
  </si>
  <si>
    <t>Capital</t>
  </si>
  <si>
    <t>Investment</t>
  </si>
  <si>
    <t xml:space="preserve">Exchange </t>
  </si>
  <si>
    <t xml:space="preserve">Valuation </t>
  </si>
  <si>
    <t>Others</t>
  </si>
  <si>
    <t>P&amp;L</t>
  </si>
  <si>
    <t>Share of</t>
  </si>
  <si>
    <t>Control</t>
  </si>
  <si>
    <t>Reserve</t>
  </si>
  <si>
    <t>Subsidiaries</t>
  </si>
  <si>
    <t>Assoc. co.</t>
  </si>
  <si>
    <t>B/F</t>
  </si>
  <si>
    <t>C/Year</t>
  </si>
  <si>
    <t>Assoc. Co</t>
  </si>
  <si>
    <t>CJE 1</t>
  </si>
  <si>
    <t>Share cap</t>
  </si>
  <si>
    <t>P&amp;L b/f</t>
  </si>
  <si>
    <t>Cost of Control (Goodwill)</t>
  </si>
  <si>
    <t>Investment in Sub</t>
  </si>
  <si>
    <t>CJE 2</t>
  </si>
  <si>
    <t>Cap Reserve</t>
  </si>
  <si>
    <t>(Being elimination of revaluation surplus)</t>
  </si>
  <si>
    <t>CJE 3</t>
  </si>
  <si>
    <t>Share cap - MI</t>
  </si>
  <si>
    <t>P&amp;L b/f MI</t>
  </si>
  <si>
    <t>P&amp;L c/y MI</t>
  </si>
  <si>
    <t>Rev. Reserves MI</t>
  </si>
  <si>
    <t>(Being allocation of shares and reserves held by minority shareholders)</t>
  </si>
  <si>
    <t>CJE 4</t>
  </si>
  <si>
    <t>Acc amortisation of Goodwill</t>
  </si>
  <si>
    <t>Amortisation GW c/y</t>
  </si>
  <si>
    <t>Goodwill B/S</t>
  </si>
  <si>
    <t>(Being amortisation of goodwill on consol)</t>
  </si>
  <si>
    <t>CJE 5</t>
  </si>
  <si>
    <t>Ass co FJK</t>
  </si>
  <si>
    <t>Profit c/y</t>
  </si>
  <si>
    <t>RE b/f</t>
  </si>
  <si>
    <t>CJE 6</t>
  </si>
  <si>
    <t>CJE 7</t>
  </si>
  <si>
    <t>Sales - Related co</t>
  </si>
  <si>
    <t>Cost of sales</t>
  </si>
  <si>
    <t>CJE 8</t>
  </si>
  <si>
    <t>Rental</t>
  </si>
  <si>
    <t>Interest exp (inter-co)</t>
  </si>
  <si>
    <t>H/Q exp</t>
  </si>
  <si>
    <t>Expenses :-</t>
  </si>
  <si>
    <t>Interest (inter-co)</t>
  </si>
  <si>
    <t>CJE 9</t>
  </si>
  <si>
    <t>Amt owing to Holding co</t>
  </si>
  <si>
    <t>Amt owing by Holding co</t>
  </si>
  <si>
    <t>Amt due from Sub</t>
  </si>
  <si>
    <t>CJE 10</t>
  </si>
  <si>
    <t>Amt due to Related co</t>
  </si>
  <si>
    <t>Amt due from Related co</t>
  </si>
  <si>
    <t>CJE 11</t>
  </si>
  <si>
    <t>Amt due to Sub</t>
  </si>
  <si>
    <t>Amt owing by immediate Holding co</t>
  </si>
  <si>
    <t>CJE 12</t>
  </si>
  <si>
    <t>MI - P&amp;L</t>
  </si>
  <si>
    <t>P&amp;L c/y Opening stk</t>
  </si>
  <si>
    <t>(Being reversal on last year unrealised profits on stocks)</t>
  </si>
  <si>
    <t>CJE 13</t>
  </si>
  <si>
    <t>As at 31/10/2006</t>
  </si>
  <si>
    <t>for the 12 months ended 31 January 2007</t>
  </si>
  <si>
    <t>Gain on disposal of  property, plant and equipment</t>
  </si>
  <si>
    <t>Fair value on cost of investment in subsidiaries</t>
  </si>
  <si>
    <t>Fair value on cost of investment in sub co</t>
  </si>
  <si>
    <t>Issue of share capital</t>
  </si>
  <si>
    <t>Issuance of share pursuant to ESOS</t>
  </si>
  <si>
    <t>-</t>
  </si>
  <si>
    <t>Breakdown as per management report @ 31/10/06 :-</t>
  </si>
  <si>
    <t>Less : Inter company sales and purchases</t>
  </si>
  <si>
    <t xml:space="preserve">           Sales from JKEA to JKKL</t>
  </si>
  <si>
    <t xml:space="preserve">           Sales from JKSWH to JKWH</t>
  </si>
  <si>
    <t>Total before inter company transaction</t>
  </si>
  <si>
    <t>Total after inter company transaction</t>
  </si>
  <si>
    <t>Total sales (including sales tax)</t>
  </si>
  <si>
    <t>Total purchases (including sales tax)</t>
  </si>
  <si>
    <t>3 months ended 31 Jan</t>
  </si>
  <si>
    <t>Late Client Adjustment - JKWH @ 26.03.07</t>
  </si>
  <si>
    <t>Dr. Operating expenses-underprovision for bonus FYE31.01.07</t>
  </si>
  <si>
    <t xml:space="preserve">Dr. Cost of sales-provision for slow moving inventories </t>
  </si>
  <si>
    <t>Cr. Inventories (B/S)</t>
  </si>
  <si>
    <t xml:space="preserve">Dr. Cost of sales-provision for doubtful debts </t>
  </si>
  <si>
    <t>Cr. Trade receivables (B/S)</t>
  </si>
  <si>
    <t>Cr. Other payable (B/S)</t>
  </si>
  <si>
    <t>Sales process of PPE</t>
  </si>
  <si>
    <t xml:space="preserve">           Sales tax for sales from JKEA to JKKL</t>
  </si>
  <si>
    <t>Note 1 : Intercompany sales and purchases</t>
  </si>
  <si>
    <t>Note 2 : Intercompany Other Income</t>
  </si>
  <si>
    <t>a) Dividend Income</t>
  </si>
  <si>
    <t>b) Management fees</t>
  </si>
  <si>
    <t>Management fees as per JKM a/c</t>
  </si>
  <si>
    <t>Total after inter company management fees</t>
  </si>
  <si>
    <t>Total dividend income after inter company dividend income</t>
  </si>
  <si>
    <t>c) Rental Income</t>
  </si>
  <si>
    <t>JKPSD</t>
  </si>
  <si>
    <t>Less : intercompany rental</t>
  </si>
  <si>
    <t xml:space="preserve">         rental received by JKM from JKWH @ RM25,000p.m.</t>
  </si>
  <si>
    <t>\</t>
  </si>
  <si>
    <t xml:space="preserve">        rental received by JKKL from JKWH @ RM38,087.77p.m.</t>
  </si>
  <si>
    <t xml:space="preserve">        rental received by JKKL from JKWH (equipment &amp; vehicle)</t>
  </si>
  <si>
    <t>YTD</t>
  </si>
  <si>
    <t>31/07/06</t>
  </si>
  <si>
    <t>31/10/06</t>
  </si>
  <si>
    <t xml:space="preserve">         @ RM2,500p.m. from Feb 06 to Sept 06</t>
  </si>
  <si>
    <t xml:space="preserve">       rental received by JKWH from JKSWH @ RM10,000p.m.</t>
  </si>
  <si>
    <t>d) Interest Received</t>
  </si>
  <si>
    <t>Less : inter company interest - JKWH charges to JKM</t>
  </si>
  <si>
    <t>e) Other Expenses</t>
  </si>
  <si>
    <t>Other expenses as per consolidated a/c before CJE</t>
  </si>
  <si>
    <t>Less : interecompany transaction</t>
  </si>
  <si>
    <t xml:space="preserve">         Rental as per above</t>
  </si>
  <si>
    <t xml:space="preserve">           Processing fees</t>
  </si>
  <si>
    <t>processing fees</t>
  </si>
  <si>
    <t>Processing Fees - FTY &amp;  Production fees</t>
  </si>
  <si>
    <t>P&amp;L - Closing stk</t>
  </si>
  <si>
    <t>B/S - Deferred tax</t>
  </si>
  <si>
    <t>B/S - Opening stk</t>
  </si>
  <si>
    <t>P&amp;L - Tax</t>
  </si>
  <si>
    <t>(Being unrealised profit on stocks - current year)</t>
  </si>
  <si>
    <t>Closing Stk - B/S - MI</t>
  </si>
  <si>
    <t>Closing Stk - P&amp;L - MI</t>
  </si>
  <si>
    <t>CJE 32</t>
  </si>
  <si>
    <t>Prov for DD</t>
  </si>
  <si>
    <t>Prov for DD - P/L</t>
  </si>
  <si>
    <t>(Being reversal of current year adj - JKKL &amp; SIM)</t>
  </si>
  <si>
    <t>(Being reversal of current year adj - JK Lamps, Ihsan)</t>
  </si>
  <si>
    <t>Cje 32</t>
  </si>
  <si>
    <t>cje 31</t>
  </si>
  <si>
    <t>cje 32: Reversal of DD for JKKL &amp; Prov for Sim</t>
  </si>
  <si>
    <t>Less : Profit on Jan 2006</t>
  </si>
  <si>
    <t>(Being current year unrealised profits on stocks - MI portion)</t>
  </si>
  <si>
    <t>Interest (inter-co) - prior year</t>
  </si>
  <si>
    <t xml:space="preserve">Interest (inter-co) </t>
  </si>
  <si>
    <t xml:space="preserve">Adjustment </t>
  </si>
  <si>
    <t>adj 2</t>
  </si>
  <si>
    <t>adj 1</t>
  </si>
  <si>
    <t>H/Q exp - prior year</t>
  </si>
  <si>
    <t>Trade Creditors</t>
  </si>
  <si>
    <t>Juan Kuang Group</t>
  </si>
  <si>
    <t>Quarterly</t>
  </si>
  <si>
    <t>Actual</t>
  </si>
  <si>
    <t>JKKL</t>
  </si>
  <si>
    <t>JKKlang</t>
  </si>
  <si>
    <t>JKPenang</t>
  </si>
  <si>
    <t>JKLamps</t>
  </si>
  <si>
    <t>JKEA</t>
  </si>
  <si>
    <t>JKWH</t>
  </si>
  <si>
    <t>Eureka</t>
  </si>
  <si>
    <t>Consol total</t>
  </si>
  <si>
    <t>RM'000</t>
  </si>
  <si>
    <t>Sales</t>
  </si>
  <si>
    <t>Cost of Sales</t>
  </si>
  <si>
    <t xml:space="preserve">Direct Labour </t>
  </si>
  <si>
    <t>Gross profit</t>
  </si>
  <si>
    <t>Dividend Receivable</t>
  </si>
  <si>
    <t>Interest Income - Subsidiaries</t>
  </si>
  <si>
    <t xml:space="preserve">Rental Income </t>
  </si>
  <si>
    <t>Processing Fee</t>
  </si>
  <si>
    <t>Dividend Income</t>
  </si>
  <si>
    <t>Other income</t>
  </si>
  <si>
    <t>Foreign Exchange</t>
  </si>
  <si>
    <t>Expenses (Note 1)</t>
  </si>
  <si>
    <t>Audit Fees Provision</t>
  </si>
  <si>
    <t>Audit Fees under/(over) provision - prior year</t>
  </si>
  <si>
    <t>Bonus Provision</t>
  </si>
  <si>
    <t>Insurance Provision</t>
  </si>
  <si>
    <t>Salaries, EPF, Socso &amp; HRDF</t>
  </si>
  <si>
    <t>Provision for Directors' Fees</t>
  </si>
  <si>
    <t>Sales Commission</t>
  </si>
  <si>
    <t>Net Profit Before Interest, Mgt Fees, Depn &amp; Tax</t>
  </si>
  <si>
    <t>Less :-</t>
  </si>
  <si>
    <t>Interest (External)</t>
  </si>
  <si>
    <t>Interest (Interco)</t>
  </si>
  <si>
    <t>Depreciation</t>
  </si>
  <si>
    <t>Net Profit(Loss) before tax</t>
  </si>
  <si>
    <t>Provision</t>
  </si>
  <si>
    <t xml:space="preserve"> - Doubtful Debts</t>
  </si>
  <si>
    <t>Total Provision</t>
  </si>
  <si>
    <t>Net profit before taxation &amp; MI</t>
  </si>
  <si>
    <t xml:space="preserve">Taxation </t>
  </si>
  <si>
    <t>Net profit after taxation &amp; before MI</t>
  </si>
  <si>
    <t>C 11</t>
  </si>
  <si>
    <t>Net profit after taxation &amp; MI</t>
  </si>
  <si>
    <t>JK Ktn</t>
  </si>
  <si>
    <t>AAN JK</t>
  </si>
  <si>
    <t>Ih. Indah</t>
  </si>
  <si>
    <t>Synlux Ind</t>
  </si>
  <si>
    <t>B-4 Conso. Adj</t>
  </si>
  <si>
    <t>After Conso. Adj</t>
  </si>
  <si>
    <t>Fixed Assets</t>
  </si>
  <si>
    <t>Investment Property</t>
  </si>
  <si>
    <t>Sub companies</t>
  </si>
  <si>
    <t>C 5</t>
  </si>
  <si>
    <t>Ass Companies</t>
  </si>
  <si>
    <t>C 6</t>
  </si>
  <si>
    <t>Deferred exp</t>
  </si>
  <si>
    <t>Goodwill</t>
  </si>
  <si>
    <t>C 2</t>
  </si>
  <si>
    <t>Current Assets</t>
  </si>
  <si>
    <t xml:space="preserve"> - Tax recoverable</t>
  </si>
  <si>
    <t>FJK</t>
  </si>
  <si>
    <t>60%</t>
  </si>
  <si>
    <t>25%</t>
  </si>
  <si>
    <t>Working on JKWH share of FJK's current year profit :-</t>
  </si>
  <si>
    <t>JKM Share</t>
  </si>
  <si>
    <t>1 ) Net Assets</t>
  </si>
  <si>
    <t>2) Profit for the year</t>
  </si>
  <si>
    <t>3) Capital Reserve</t>
  </si>
  <si>
    <t>}</t>
  </si>
  <si>
    <t>Transfer from P &amp; L a/c - current year</t>
  </si>
  <si>
    <t>Capital reserves b/f - Year 2006</t>
  </si>
  <si>
    <t>Capital reserves b/f - Year 2007</t>
  </si>
  <si>
    <t xml:space="preserve">                             - YE 2006</t>
  </si>
  <si>
    <t>Retained profit b/f  - YE 2005</t>
  </si>
  <si>
    <t>Profit for current year</t>
  </si>
  <si>
    <t xml:space="preserve">As per consolidation Balance Sheet </t>
  </si>
  <si>
    <t>As per consolidation Balance Sheet</t>
  </si>
  <si>
    <t>As per consolidation Balance Sheets</t>
  </si>
  <si>
    <t>As per consolidation  Income statement</t>
  </si>
  <si>
    <t>As per consolidation Income Statement</t>
  </si>
  <si>
    <t xml:space="preserve">As per consolidation Income Statement </t>
  </si>
  <si>
    <t>Capital reserves</t>
  </si>
  <si>
    <t>Associated company - FJK</t>
  </si>
  <si>
    <t>Exchange reserves for current year</t>
  </si>
  <si>
    <t>Exchange reserves - FJK</t>
  </si>
  <si>
    <t>Other debtors</t>
  </si>
  <si>
    <t xml:space="preserve"> - Immediate holding co</t>
  </si>
  <si>
    <t xml:space="preserve"> - Holding co</t>
  </si>
  <si>
    <t xml:space="preserve"> - FD</t>
  </si>
  <si>
    <t xml:space="preserve"> - Cash &amp; bank</t>
  </si>
  <si>
    <t>Current Liabilities</t>
  </si>
  <si>
    <t>P&amp;L B/F - FYE2006</t>
  </si>
  <si>
    <t xml:space="preserve"> - Ultimate Holding</t>
  </si>
  <si>
    <t xml:space="preserve"> - Bank borrowing</t>
  </si>
  <si>
    <t>Net Current Assets</t>
  </si>
  <si>
    <t>Financed By</t>
  </si>
  <si>
    <t>Retained Profit</t>
  </si>
  <si>
    <t>C 10,11</t>
  </si>
  <si>
    <t>Share Premium</t>
  </si>
  <si>
    <t>Holding co</t>
  </si>
  <si>
    <t>Manufacturing</t>
  </si>
  <si>
    <t>Trading</t>
  </si>
  <si>
    <t>Quarter</t>
  </si>
  <si>
    <t>Fully Diluted EPS (sen)</t>
  </si>
  <si>
    <t>&lt;CJE 7&gt;</t>
  </si>
  <si>
    <t>Summary as per Consolidation Journal :-</t>
  </si>
  <si>
    <t>Investment in assoc - FJK</t>
  </si>
  <si>
    <t xml:space="preserve">Investment </t>
  </si>
  <si>
    <t>Capital Res b/f</t>
  </si>
  <si>
    <t>(Being share of net assets of assocaite co - FJK 25%)</t>
  </si>
  <si>
    <t>P&amp;L - Current taxation</t>
  </si>
  <si>
    <t>Investment in assoc  - FJK</t>
  </si>
  <si>
    <t>(Being share of current year taxation of associate co - FJK 25%)</t>
  </si>
  <si>
    <t>BS - MI</t>
  </si>
  <si>
    <t>PL - MI</t>
  </si>
  <si>
    <t>CJE 37</t>
  </si>
  <si>
    <t>Investment in subsidiaries company</t>
  </si>
  <si>
    <t>- reverse fair value adjustment on investment of sub co</t>
  </si>
  <si>
    <t>Reversal fair value adjustment on sub co &lt;CJE  37&gt;</t>
  </si>
  <si>
    <t>(Being reverse of fair value on invetment on sub co)</t>
  </si>
  <si>
    <t>(Being reverse fair value on invetment on sub co)</t>
  </si>
  <si>
    <t>(Being share of current year taxation of associate co by MI - 40%)</t>
  </si>
  <si>
    <t>(Being share of FJK capital reserve)</t>
  </si>
  <si>
    <t>(Being share of FJK  current year exchange reserves)</t>
  </si>
  <si>
    <t>(Being allocation of current year exchange reserve of FJK for MI - 40%)</t>
  </si>
  <si>
    <t>Less : interco - JKM charges to JKWH</t>
  </si>
  <si>
    <t xml:space="preserve">                    - JKM charges to CNX soluation @ 31/7/06</t>
  </si>
  <si>
    <t>(Being eliminate intercompany sales and purchases)</t>
  </si>
  <si>
    <t>Sales and other income :-</t>
  </si>
  <si>
    <t>- Rental</t>
  </si>
  <si>
    <t>- Management fees</t>
  </si>
  <si>
    <t>- Processing fee</t>
  </si>
  <si>
    <t>- Interest (JKWH)</t>
  </si>
  <si>
    <t>- Interest(JKWH)</t>
  </si>
  <si>
    <t>- Management fee</t>
  </si>
  <si>
    <t>- Processsing fee</t>
  </si>
  <si>
    <t>(Being eliminate intercompany transaction)</t>
  </si>
  <si>
    <t>PL - Dividend Income</t>
  </si>
  <si>
    <t>BS - Dividend payables</t>
  </si>
  <si>
    <t>Consolidatin Journal :-</t>
  </si>
  <si>
    <t xml:space="preserve">Retained b/f - gain on disposal of factory building </t>
  </si>
  <si>
    <t>(Being eliminate inter company disposal of factory building of prior year)</t>
  </si>
  <si>
    <t>Consolidation Journal :-</t>
  </si>
  <si>
    <t>Accumulated losses b/f - CNX Solutions</t>
  </si>
  <si>
    <t>Realised on disopasal of shares</t>
  </si>
  <si>
    <t>PL b/f - MI</t>
  </si>
  <si>
    <t>PL c/f - MI</t>
  </si>
  <si>
    <t>Investment in ass co</t>
  </si>
  <si>
    <t>PL c/y - MI</t>
  </si>
  <si>
    <t>(Being adjustment made on group loss on disposal of 70% CNX Software)</t>
  </si>
  <si>
    <t>(Being adjustment made on group gain on disposal of 44.5% CNX Soluation)</t>
  </si>
  <si>
    <t>Retained Profit - MI</t>
  </si>
  <si>
    <t>Revaluation Reserves</t>
  </si>
  <si>
    <t>(Being reversal of prior year adj - reinstated of revaluation reserves on consolidation)</t>
  </si>
  <si>
    <t>Share capital</t>
  </si>
  <si>
    <t>Pre-acq profit</t>
  </si>
  <si>
    <t>Cost of control (goodwill)</t>
  </si>
  <si>
    <t>Investment  in Sub</t>
  </si>
  <si>
    <t>(Being elimination of share capital in subsidiary and transfer goodwill to cost of control)</t>
  </si>
  <si>
    <t>Capital Reserves</t>
  </si>
  <si>
    <t>PL cy - MI</t>
  </si>
  <si>
    <t>Capital reserves - MI</t>
  </si>
  <si>
    <t>Rev. reserves - MI</t>
  </si>
  <si>
    <t>Exchange res b/f - MI</t>
  </si>
  <si>
    <t>Dividend Income - b/f</t>
  </si>
  <si>
    <t>(Being allocation of shares and reserves held by minority interest)</t>
  </si>
  <si>
    <t>Acc. Amortisation of goodwill</t>
  </si>
  <si>
    <t>BS - Goodwill</t>
  </si>
  <si>
    <t>(Being amortisation goodwill on consolidation)</t>
  </si>
  <si>
    <t>Juan Kuang (M) Industrial Bhd and its subsidiaries</t>
  </si>
  <si>
    <t>Sub companies - DD</t>
  </si>
  <si>
    <t>&lt;intercompany bal - sub co dd&gt; @ 5,072,328 - (33,056,910)</t>
  </si>
  <si>
    <t>Investment in subsidiaires company</t>
  </si>
  <si>
    <t>Investment in subsidiaries (C5)</t>
  </si>
  <si>
    <t>- elimination share capital in sub companies &lt;CJE 1&gt;</t>
  </si>
  <si>
    <t>- elimination of revaluation surplus &lt;CJE 2&gt;</t>
  </si>
  <si>
    <t>- elimination of amount due from sub co &lt;CJE 8&gt;</t>
  </si>
  <si>
    <t>- elimination of amount due to sub co &lt;CJE 10&gt;</t>
  </si>
  <si>
    <t>- reverse prior year provision for diminution in value of investment &amp; DD - JKM &lt;CJE 23&gt;</t>
  </si>
  <si>
    <t>Issue of new shares for cash - Excise option</t>
  </si>
  <si>
    <t>As At 31 January 2007</t>
  </si>
  <si>
    <t>55,900 x 12/12</t>
  </si>
  <si>
    <t>30,000 x 12/12</t>
  </si>
  <si>
    <t>D</t>
  </si>
  <si>
    <t>[A+B+C+D)</t>
  </si>
  <si>
    <t>19 Jan 2007</t>
  </si>
  <si>
    <t>Year to date (Feb 06 - Jan 07)</t>
  </si>
  <si>
    <t>- reverse prior year provision for diminutin in value of investment &amp; DD - Synlux industries &lt;CJE 24&gt;</t>
  </si>
  <si>
    <t>- elimination of impairment in value of investment in sub - JK Power &lt;CJE 31&gt;</t>
  </si>
  <si>
    <t>Operating expenses</t>
  </si>
  <si>
    <t>Profit before tax</t>
  </si>
  <si>
    <t>Profit for the period</t>
  </si>
  <si>
    <t>Other Investments</t>
  </si>
  <si>
    <t>Net assets per share attributable to oridinary equity holders of the parent (RM)</t>
  </si>
  <si>
    <t>Ended</t>
  </si>
  <si>
    <t>Preceeding Year</t>
  </si>
  <si>
    <t>Impairment loss of investment property</t>
  </si>
  <si>
    <t>Gain on disposal of quoted shares</t>
  </si>
  <si>
    <t>Operating profit  before changes in working capital</t>
  </si>
  <si>
    <t>Cash generated from operating activities</t>
  </si>
  <si>
    <t>Taxation paid</t>
  </si>
  <si>
    <t>Proceeds from disposal of property, plant and equipment</t>
  </si>
  <si>
    <t>Dividend received from an associated company</t>
  </si>
  <si>
    <t xml:space="preserve">Dividend received from quoted investment </t>
  </si>
  <si>
    <t>Net cash used in inveting activities</t>
  </si>
  <si>
    <t>Repayment of term loan</t>
  </si>
  <si>
    <t>Repayment of bank borrowings</t>
  </si>
  <si>
    <t>Net cash used in financing actitives</t>
  </si>
  <si>
    <t>Net increase in cash and cash equivalents</t>
  </si>
  <si>
    <t>Cash and cash equivalents at beginning of period</t>
  </si>
  <si>
    <t>Cash and cash equivalents at end of period</t>
  </si>
  <si>
    <t>- reverse prior year provision for doubtful debts - JKKL &amp; SIM &lt;CJE 32&gt;</t>
  </si>
  <si>
    <t>- share capital in JK Lamps (MI) &lt;CJE 29&gt;</t>
  </si>
  <si>
    <t>- investment cost in JK Lamps &lt;CJE 29&gt;</t>
  </si>
  <si>
    <t>Add : Prior year doubtful debts written off - Ihsan Indah &lt;CJE 27&gt;</t>
  </si>
  <si>
    <t>Diminution in value of investment</t>
  </si>
  <si>
    <t>- reverse prior year provision for doubtful debts - JKKL &lt;CJE 28&gt;</t>
  </si>
  <si>
    <t>- reverse prior year provision for doubftul debts - JK Lamps &amp; Ihsan &lt;CJE 30&gt;</t>
  </si>
  <si>
    <t>- elinination of amount due to trade creditors &lt;CJE 9&gt;</t>
  </si>
  <si>
    <t>- diffrence</t>
  </si>
  <si>
    <t>- JKWH</t>
  </si>
  <si>
    <t>Add : Consolidation Adjustments (C6)</t>
  </si>
  <si>
    <t>- share of investment of associate co (FJK) 25% &lt;CJE 5&gt;</t>
  </si>
  <si>
    <t>- share of current year FJK taxation 25% &lt;CJE 15&gt;</t>
  </si>
  <si>
    <t>- adj make on group gain on disposal of 44.5% CNX Solutions &lt;CJE33&gt;</t>
  </si>
  <si>
    <t>- share of net assets of associate co - Meridianotch (cost of investment) &lt;CJE 35&gt;</t>
  </si>
  <si>
    <t xml:space="preserve">The figures have not been audited. </t>
  </si>
  <si>
    <t>CONSOLIDATED INCOME STATEMENT</t>
  </si>
  <si>
    <t>INDIVIDUAL QUARTER</t>
  </si>
  <si>
    <t>CUMULATIVE QUARTER</t>
  </si>
  <si>
    <t>CURRENT</t>
  </si>
  <si>
    <t>PRECEDING YEAR</t>
  </si>
  <si>
    <t>YEAR</t>
  </si>
  <si>
    <t>Gross Profit</t>
  </si>
  <si>
    <t>Finance Cost</t>
  </si>
  <si>
    <t>Income tax expenses</t>
  </si>
  <si>
    <t>Attributable to :</t>
  </si>
  <si>
    <t>Equity holders of the parent</t>
  </si>
  <si>
    <t>Earnings per share attributable</t>
  </si>
  <si>
    <t>permanent</t>
  </si>
  <si>
    <t>P&amp;L - FYE2007</t>
  </si>
  <si>
    <t>Capital Reserves - FYE2007</t>
  </si>
  <si>
    <t>Dividend appropriation-b/S</t>
  </si>
  <si>
    <t>(Being elimination of interco dividend-JKM Portion)</t>
  </si>
  <si>
    <t xml:space="preserve"> - Basic (sen) - for profit for the period</t>
  </si>
  <si>
    <t>- Diluted (sen) - for profit for the period</t>
  </si>
  <si>
    <t>Total Equity</t>
  </si>
  <si>
    <t>CORRESPONDING</t>
  </si>
  <si>
    <t>QUARTER</t>
  </si>
  <si>
    <t>TO DATE</t>
  </si>
  <si>
    <t>PERIOD</t>
  </si>
  <si>
    <t>(b) Investment income</t>
  </si>
  <si>
    <t>( c) Depreciation and amortisation</t>
  </si>
  <si>
    <t>(d) Exceptional items</t>
  </si>
  <si>
    <t>(h) Taxation</t>
  </si>
  <si>
    <t xml:space="preserve">       (ii)  Less minority interests</t>
  </si>
  <si>
    <t xml:space="preserve">       (iii) Extraordinary items attributable to          .             members of the company </t>
  </si>
  <si>
    <t>CONSOLIDATED BALANCE SHEET</t>
  </si>
  <si>
    <t xml:space="preserve">AS AT END </t>
  </si>
  <si>
    <t>AS AT PRECEDING</t>
  </si>
  <si>
    <t>OF CURRENT</t>
  </si>
  <si>
    <t xml:space="preserve">FINANCIAL </t>
  </si>
  <si>
    <t>YEAR END</t>
  </si>
  <si>
    <t>Sub companies - investment</t>
  </si>
  <si>
    <t>Ass companies</t>
  </si>
  <si>
    <t>Less : reversel of prior year adj - JKM &lt;CJE 27&gt;</t>
  </si>
  <si>
    <t xml:space="preserve">          reversal of investment subsidiaries co &lt;C5&gt;</t>
  </si>
  <si>
    <t xml:space="preserve">         Investment in assocation company &lt;CJE6&gt;</t>
  </si>
  <si>
    <t>Investment in Associated companies</t>
  </si>
  <si>
    <t>Long Term Investments</t>
  </si>
  <si>
    <t>Intangible Assets</t>
  </si>
  <si>
    <t>Stock</t>
  </si>
  <si>
    <t>Trade Debtors</t>
  </si>
  <si>
    <t>Short Term Investments</t>
  </si>
  <si>
    <t>Cash</t>
  </si>
  <si>
    <t>OthersDebtors</t>
  </si>
  <si>
    <t>Short Term Borrowings</t>
  </si>
  <si>
    <t>&lt;CJE 1&gt;</t>
  </si>
  <si>
    <t xml:space="preserve">   &lt;CJE 3&gt;</t>
  </si>
  <si>
    <t xml:space="preserve">   &lt;CJE 1&gt;</t>
  </si>
  <si>
    <t xml:space="preserve"> #1</t>
  </si>
  <si>
    <t>#1</t>
  </si>
  <si>
    <t>#1 P/L b/f - MI</t>
  </si>
  <si>
    <t>&lt;CJE 3&gt;</t>
  </si>
  <si>
    <t>#2</t>
  </si>
  <si>
    <t>#2 P/L cy - MI</t>
  </si>
  <si>
    <t>#3</t>
  </si>
  <si>
    <t>#3 Dividend inc</t>
  </si>
  <si>
    <t>&lt;CJE 5&gt;</t>
  </si>
  <si>
    <t>&lt;B/S&gt;</t>
  </si>
  <si>
    <t>&lt;P/L&gt;</t>
  </si>
  <si>
    <t>Note :-</t>
  </si>
  <si>
    <t>#1 RE b/f</t>
  </si>
  <si>
    <t>&lt;CJE 6&gt;</t>
  </si>
  <si>
    <t>&lt;CJE 16&gt;</t>
  </si>
  <si>
    <t>&lt;CJE 18&gt;</t>
  </si>
  <si>
    <t>&lt;CJE 19&gt;</t>
  </si>
  <si>
    <t xml:space="preserve">#1 Retained profit - MI </t>
  </si>
  <si>
    <t>&lt;CJE 26&gt;</t>
  </si>
  <si>
    <t>#2 Revaluation reserves</t>
  </si>
  <si>
    <t>Other Creditors</t>
  </si>
  <si>
    <t>Provision for Taxation</t>
  </si>
  <si>
    <t xml:space="preserve">Net Current Assets </t>
  </si>
  <si>
    <t>Shareholders Funds</t>
  </si>
  <si>
    <t xml:space="preserve"> Share Premium</t>
  </si>
  <si>
    <t xml:space="preserve"> Revaluation Reserve</t>
  </si>
  <si>
    <t xml:space="preserve"> Capital Reserve</t>
  </si>
  <si>
    <t xml:space="preserve"> Retained Profit</t>
  </si>
  <si>
    <t xml:space="preserve"> Exchange Reserve</t>
  </si>
  <si>
    <t>Minority Interests</t>
  </si>
  <si>
    <t>Long Term Borrowings</t>
  </si>
  <si>
    <t>Other Long Term Liabilities</t>
  </si>
  <si>
    <t>NOTES</t>
  </si>
  <si>
    <t>Accounting Policies</t>
  </si>
  <si>
    <t>Exeptional items</t>
  </si>
  <si>
    <t>Nil.</t>
  </si>
  <si>
    <t>Extraordinary items</t>
  </si>
  <si>
    <t>Taxation</t>
  </si>
  <si>
    <t>Sub companies - D/D written off</t>
  </si>
  <si>
    <t xml:space="preserve">The tax figure consist of the provision for taxation for current year, deferred tax arising from the unrealised profit included </t>
  </si>
  <si>
    <t xml:space="preserve"> </t>
  </si>
  <si>
    <t>Sales of Investment and Properties</t>
  </si>
  <si>
    <t>Nil</t>
  </si>
  <si>
    <t>Particulars of Purchase or Disposal of Quoted Securities</t>
  </si>
  <si>
    <t>During the reporting period the group did not purchase or dispose any quoted shares.</t>
  </si>
  <si>
    <t>Diff</t>
  </si>
  <si>
    <t>Interest Received</t>
  </si>
  <si>
    <t>(a) N/A</t>
  </si>
  <si>
    <t xml:space="preserve">                      Particulars      </t>
  </si>
  <si>
    <t xml:space="preserve">At cost                                      </t>
  </si>
  <si>
    <t>Retained profits @ 31.12.2005</t>
  </si>
  <si>
    <t xml:space="preserve">C7 </t>
  </si>
  <si>
    <t>CJE9/170/181</t>
  </si>
  <si>
    <t xml:space="preserve">CJE 10 </t>
  </si>
  <si>
    <t>CJE20/21</t>
  </si>
  <si>
    <t>At carrying value / book value (after provision for diminution in value.)</t>
  </si>
  <si>
    <t>Changes in Group / Capital Structure</t>
  </si>
  <si>
    <t>Status of corporate Proposals</t>
  </si>
  <si>
    <t xml:space="preserve"> Ravi to insert.</t>
  </si>
  <si>
    <t>Seasonal or Cyclical Factors</t>
  </si>
  <si>
    <t>Purchase of PPE - at cost</t>
  </si>
  <si>
    <t>Disposal of PPE - at cost</t>
  </si>
  <si>
    <t>Acc depreciation for disposal of PPE</t>
  </si>
  <si>
    <t>Gain / (loss) of PPE</t>
  </si>
  <si>
    <t>The performance of the group has not been affected by seasonal or cyclical factors.</t>
  </si>
  <si>
    <t>Capital Issues and Dealings in Own Shares</t>
  </si>
  <si>
    <t>Secured</t>
  </si>
  <si>
    <t>Unsecured</t>
  </si>
  <si>
    <t>Short Terms bank borrowings</t>
  </si>
  <si>
    <t>Contingent Liabilities</t>
  </si>
  <si>
    <t>Off Balance Sheet Financial Instruments</t>
  </si>
  <si>
    <t>Material Litigation</t>
  </si>
  <si>
    <t xml:space="preserve">  - Min Er to update</t>
  </si>
  <si>
    <t>Segment Information :-</t>
  </si>
  <si>
    <t>JK PSD</t>
  </si>
  <si>
    <t>Current  Quarter</t>
  </si>
  <si>
    <t>Group</t>
  </si>
  <si>
    <t>By activity</t>
  </si>
  <si>
    <t>Profit before taxation</t>
  </si>
  <si>
    <t>Total assets employed</t>
  </si>
  <si>
    <t>Investment holding and others</t>
  </si>
  <si>
    <t>Group's share of associated companies</t>
  </si>
  <si>
    <t>Cummulative Quarter</t>
  </si>
  <si>
    <t>Dividend expenses -MI</t>
  </si>
  <si>
    <t>CJE 33 / 36</t>
  </si>
  <si>
    <t>Material Changes in the Quarterly Results Compared to the Results of the Preceding Quarter.</t>
  </si>
  <si>
    <t>Not applicable.</t>
  </si>
  <si>
    <t xml:space="preserve">Review of Performance </t>
  </si>
  <si>
    <t>Ravi to insert</t>
  </si>
  <si>
    <t>Current Year Prospects</t>
  </si>
  <si>
    <t xml:space="preserve">Variances from Profit Forecasts and Profit Guarantee </t>
  </si>
  <si>
    <t>Dividend</t>
  </si>
  <si>
    <t>No interim dividend has been recommended by the directors.</t>
  </si>
  <si>
    <t>Exchange Reserve</t>
  </si>
  <si>
    <t>Reserves- Exchange</t>
  </si>
  <si>
    <t>Net profit after taxation &amp; MI &amp; Dividend</t>
  </si>
  <si>
    <t>JUAN KUANG (M) INDUSTRIAL BHD</t>
  </si>
  <si>
    <t>Segmental Information</t>
  </si>
  <si>
    <t>Consol</t>
  </si>
  <si>
    <t>Profit before</t>
  </si>
  <si>
    <t>Total assets</t>
  </si>
  <si>
    <t>Turnover</t>
  </si>
  <si>
    <t>Adjustm</t>
  </si>
  <si>
    <t>taxation</t>
  </si>
  <si>
    <t>employed</t>
  </si>
  <si>
    <t>Wholesale supply</t>
  </si>
  <si>
    <t>JK (Johor)</t>
  </si>
  <si>
    <t>JK (KL)</t>
  </si>
  <si>
    <t>JK (Penang)</t>
  </si>
  <si>
    <t>JK (Klang)</t>
  </si>
  <si>
    <t>JK (Kuantan)</t>
  </si>
  <si>
    <t>Synlux Industries</t>
  </si>
  <si>
    <t>AAN-JK WH</t>
  </si>
  <si>
    <t>Associated Companies</t>
  </si>
  <si>
    <t>cje 7</t>
  </si>
  <si>
    <t>cje 8</t>
  </si>
  <si>
    <t>cje 12</t>
  </si>
  <si>
    <t>cje 4</t>
  </si>
  <si>
    <t>cje 5</t>
  </si>
  <si>
    <t>cje 6</t>
  </si>
  <si>
    <t>cje 10</t>
  </si>
  <si>
    <t>cje 11</t>
  </si>
  <si>
    <t>cje 9</t>
  </si>
  <si>
    <t>Other Debtors</t>
  </si>
  <si>
    <t xml:space="preserve">Trading </t>
  </si>
  <si>
    <t>WH</t>
  </si>
  <si>
    <t>Sub-total</t>
  </si>
  <si>
    <t>Sub-Total</t>
  </si>
  <si>
    <t>JK Wire</t>
  </si>
  <si>
    <t>Paid-up capital</t>
  </si>
  <si>
    <t>Capital reserve</t>
  </si>
  <si>
    <t>Retained earnings</t>
  </si>
  <si>
    <t>Current year's pre-tax profit (loss)</t>
  </si>
  <si>
    <t>CY</t>
  </si>
  <si>
    <t xml:space="preserve">Permanent </t>
  </si>
  <si>
    <t xml:space="preserve">CY movement </t>
  </si>
  <si>
    <t>JK Group's effective interest (%)</t>
  </si>
  <si>
    <t>JK Group's effective interest (RM)</t>
  </si>
  <si>
    <t>Proposed dividend</t>
  </si>
  <si>
    <t>Inter-co balances:</t>
  </si>
  <si>
    <t>JKKuantan</t>
  </si>
  <si>
    <t>JKSumi</t>
  </si>
  <si>
    <t>JKPower</t>
  </si>
  <si>
    <t>JKJohor</t>
  </si>
  <si>
    <t>Synlux Industries (M)</t>
  </si>
  <si>
    <t xml:space="preserve">Eureka Fortune </t>
  </si>
  <si>
    <t>Net Balance</t>
  </si>
  <si>
    <t>S/ Holders'fund+Loan+Dividend+Interco Bal</t>
  </si>
  <si>
    <t>(EFFECTIVE INTEREST)</t>
  </si>
  <si>
    <t>Assets :</t>
  </si>
  <si>
    <t>Cash and bank</t>
  </si>
  <si>
    <t>Fixed Deposit</t>
  </si>
  <si>
    <t>Inter co balances</t>
  </si>
  <si>
    <t>&lt;CJE15&gt;</t>
  </si>
  <si>
    <t>#</t>
  </si>
  <si>
    <t>&lt;CJE25&gt;</t>
  </si>
  <si>
    <t>Fixed assets</t>
  </si>
  <si>
    <t>Liabilities :</t>
  </si>
  <si>
    <t>Other creditors</t>
  </si>
  <si>
    <t>Short term Borrowings</t>
  </si>
  <si>
    <t>Trade creditors</t>
  </si>
  <si>
    <t>Net Assets</t>
  </si>
  <si>
    <t>* /</t>
  </si>
  <si>
    <t xml:space="preserve"> - Dividend receivable - JKWH</t>
  </si>
  <si>
    <t>Direct Labour</t>
  </si>
  <si>
    <t>GP (%)</t>
  </si>
  <si>
    <t>Rental Income</t>
  </si>
  <si>
    <t>Jan'99 Audit Fees Over Provision</t>
  </si>
  <si>
    <t>Provision for Obsolete Stock</t>
  </si>
  <si>
    <t>Perodua - S/Tax claimed</t>
  </si>
  <si>
    <t>Prior Year Adjustment for individual subsidiaries :-</t>
  </si>
  <si>
    <t>(Being eliminate the inter-co sales)</t>
  </si>
  <si>
    <t>CJE 14</t>
  </si>
  <si>
    <t>The accounting policies and methods of computation used in the preparation of the quarterly financial statements are consistent</t>
  </si>
  <si>
    <t xml:space="preserve"> - Assets written off</t>
  </si>
  <si>
    <t>RMB</t>
  </si>
  <si>
    <t>Exchange Reserves</t>
  </si>
  <si>
    <t>JKWH Share</t>
  </si>
  <si>
    <t>(Being owing by JK WH to JK Sumi and AAN-JKWH )</t>
  </si>
  <si>
    <t xml:space="preserve">Guarantees (unsecured) given to financial institutions in respect of </t>
  </si>
  <si>
    <t>Company</t>
  </si>
  <si>
    <t>credit facilities granted to subsidiary companies</t>
  </si>
  <si>
    <t>Good will Calculation</t>
  </si>
  <si>
    <t>Share Cap</t>
  </si>
  <si>
    <t>Purchased cost</t>
  </si>
  <si>
    <t>*Net Sh Cap</t>
  </si>
  <si>
    <t>JK - KL</t>
  </si>
  <si>
    <t>JK - Klang</t>
  </si>
  <si>
    <t>JK - Penang</t>
  </si>
  <si>
    <t>JK - Kuantan</t>
  </si>
  <si>
    <t>JK - WH</t>
  </si>
  <si>
    <t>JK - Sumi</t>
  </si>
  <si>
    <t>AAN - JK</t>
  </si>
  <si>
    <t>JK - EA</t>
  </si>
  <si>
    <t xml:space="preserve">Merit Profile </t>
  </si>
  <si>
    <t>GW on Acq.</t>
  </si>
  <si>
    <t>YE95 add</t>
  </si>
  <si>
    <t>YE96 add</t>
  </si>
  <si>
    <t>YE97 add</t>
  </si>
  <si>
    <t>YE 98 add</t>
  </si>
  <si>
    <t>YE99 add</t>
  </si>
  <si>
    <t>Cost</t>
  </si>
  <si>
    <t>Amortisation 31/1/97</t>
  </si>
  <si>
    <t>NBV</t>
  </si>
  <si>
    <t>YE 1998</t>
  </si>
  <si>
    <t>YE 1999</t>
  </si>
  <si>
    <t>31st Jul 99</t>
  </si>
  <si>
    <t>YE 2000</t>
  </si>
  <si>
    <t>YE 2001</t>
  </si>
  <si>
    <t xml:space="preserve">Pre-acq Profit </t>
  </si>
  <si>
    <t>Pre-Acq Profit</t>
  </si>
  <si>
    <t>Investment in subsidiaries</t>
  </si>
  <si>
    <t>(Being reclassification of a/c for JKM)</t>
  </si>
  <si>
    <t>Interest saving - income</t>
  </si>
  <si>
    <t>JK - Johor</t>
  </si>
  <si>
    <t>JUAN KUANG (M) INDUSTRIAL BERHAD</t>
  </si>
  <si>
    <t>Proof of retained earnings</t>
  </si>
  <si>
    <t>S/hldg</t>
  </si>
  <si>
    <t>Companies</t>
  </si>
  <si>
    <t>RE c/f</t>
  </si>
  <si>
    <t>Share of RE</t>
  </si>
  <si>
    <t>JK (M)</t>
  </si>
  <si>
    <t>JK (KUANTAN)</t>
  </si>
  <si>
    <t>JK (KLANG)</t>
  </si>
  <si>
    <t>JK WIRE HARN</t>
  </si>
  <si>
    <t>JK ELECTRICAL</t>
  </si>
  <si>
    <t>JK JOHOR</t>
  </si>
  <si>
    <t>JK LAMPS</t>
  </si>
  <si>
    <t>JK PENANG</t>
  </si>
  <si>
    <t>JK SUMI WIRE</t>
  </si>
  <si>
    <t>AAN-JK</t>
  </si>
  <si>
    <t>Workings (as at 31st October 2006) :-</t>
  </si>
  <si>
    <t>JK POWER</t>
  </si>
  <si>
    <t>IHSAN INDAH</t>
  </si>
  <si>
    <t>SYNLUX ENER</t>
  </si>
  <si>
    <t>EUREKA</t>
  </si>
  <si>
    <t>SYNLUX IND</t>
  </si>
  <si>
    <t>MERIT PROFILE</t>
  </si>
  <si>
    <t>Add / (Less):</t>
  </si>
  <si>
    <t>cje 1: Pre-acquisition profit</t>
  </si>
  <si>
    <t>RE per consol balance sheet</t>
  </si>
  <si>
    <t>Difference</t>
  </si>
  <si>
    <t>- immaterial to pursue</t>
  </si>
  <si>
    <t>Proof of minority interest</t>
  </si>
  <si>
    <t xml:space="preserve">S.holders' </t>
  </si>
  <si>
    <t>Funds</t>
  </si>
  <si>
    <t>S/hldrs Funds</t>
  </si>
  <si>
    <t>MI share on unrealised profit</t>
  </si>
  <si>
    <t xml:space="preserve">MI share on FJK reserves </t>
  </si>
  <si>
    <t>(+) CJE29</t>
  </si>
  <si>
    <t>MI Share of loss - J K Lamps</t>
  </si>
  <si>
    <t>cje 13: MI share on unrealised profit</t>
  </si>
  <si>
    <t>cje 4: Accumulated amortisation of goodwill</t>
  </si>
  <si>
    <t xml:space="preserve">MI share on FJK Profit </t>
  </si>
  <si>
    <t>PROOFING OF RETAINED PROFIT B/F</t>
  </si>
  <si>
    <t>JK (KTN)</t>
  </si>
  <si>
    <t>JK (KLG)</t>
  </si>
  <si>
    <t>JK JHR</t>
  </si>
  <si>
    <t>JK PG</t>
  </si>
  <si>
    <t>JK SUMI W</t>
  </si>
  <si>
    <t>TOTAL</t>
  </si>
  <si>
    <t>RM '000</t>
  </si>
  <si>
    <t>PERCENTAGE SHAREHOLDING</t>
  </si>
  <si>
    <t>RE per Stat A/C RM '000</t>
  </si>
  <si>
    <t>RE per consol</t>
  </si>
  <si>
    <t>Share of RE b/f (exclude MI):</t>
  </si>
  <si>
    <t>(-) CJE 1</t>
  </si>
  <si>
    <t>pre-acquisition reserves</t>
  </si>
  <si>
    <t>(-) CJE 11</t>
  </si>
  <si>
    <t>Acc and amortisation of goodwill and premium</t>
  </si>
  <si>
    <t xml:space="preserve">Invescor M&amp;E </t>
  </si>
  <si>
    <t>Reinstatement of opening balance</t>
  </si>
  <si>
    <t xml:space="preserve">per stat a/c </t>
  </si>
  <si>
    <t>rounding difference</t>
  </si>
  <si>
    <t>(-) CJE 4</t>
  </si>
  <si>
    <t>Add: Share of associate cos' RE b/f</t>
  </si>
  <si>
    <t>cje 12: Unrealised profit on stocks c/y</t>
  </si>
  <si>
    <t>40% of JK WH reserves not taken up by MI (856,000 x 40%)</t>
  </si>
  <si>
    <t>RETAINED PROFIT / ACCU LOSSES B/F</t>
  </si>
  <si>
    <t>adjustment for unrealised profit - prior/y</t>
  </si>
  <si>
    <t>MI share of FJK profit - 40%</t>
  </si>
  <si>
    <t>Capital Surplus</t>
  </si>
  <si>
    <t>Reserve Fund</t>
  </si>
  <si>
    <t>Enterprise Expansion Fund</t>
  </si>
  <si>
    <t>NTA of Juan Kuang Group</t>
  </si>
  <si>
    <t>Loan (from) / to JKM</t>
  </si>
  <si>
    <t>Trade debtors</t>
  </si>
  <si>
    <t>Juan Kuang (M) Industrial Berhad</t>
  </si>
  <si>
    <t>Naluri</t>
  </si>
  <si>
    <t>KYM</t>
  </si>
  <si>
    <t>No. of Shares</t>
  </si>
  <si>
    <t>Unit Price</t>
  </si>
  <si>
    <t>Dividend income - P&amp;L (JKM)</t>
  </si>
  <si>
    <t>Dividend appropriation-b/S (JKWH)</t>
  </si>
  <si>
    <t>Market value</t>
  </si>
  <si>
    <t>Translation of Fujian JK Wire Harness Accounts</t>
  </si>
  <si>
    <t xml:space="preserve">  01.01.2006 to 31.12.2006</t>
  </si>
  <si>
    <t xml:space="preserve">  01.01.2007 to 31.01.2007</t>
  </si>
  <si>
    <t>Shareholders' Fund</t>
  </si>
  <si>
    <t xml:space="preserve">Current year profit </t>
  </si>
  <si>
    <t>P&amp;L(B4 Tax)</t>
  </si>
  <si>
    <t>P&amp;L(After Tax)</t>
  </si>
  <si>
    <t>Equity method applied :-</t>
  </si>
  <si>
    <t>Exchange rate</t>
  </si>
  <si>
    <t>JK WH share @</t>
  </si>
  <si>
    <t>Reconciliation</t>
  </si>
  <si>
    <t>Cost of Investment</t>
  </si>
  <si>
    <t>Current year profit</t>
  </si>
  <si>
    <t>Translation diff</t>
  </si>
  <si>
    <t xml:space="preserve">cje 5, cje 15 &amp; cje 17: Share of profit of FJK </t>
  </si>
  <si>
    <t>P&amp;L - Taxation (FJK)</t>
  </si>
  <si>
    <t>Associated company</t>
  </si>
  <si>
    <t>(Being share of FJK tax for the yr)</t>
  </si>
  <si>
    <t>MI - Balance Sheet</t>
  </si>
  <si>
    <t>(Being MI share of FJK tax C/yr)</t>
  </si>
  <si>
    <t>2) Proposed Dividend</t>
  </si>
  <si>
    <t>1) Investment in subsidiaries companies</t>
  </si>
  <si>
    <t>Investment in subsidiaies companies</t>
  </si>
  <si>
    <t>Investment in association companies</t>
  </si>
  <si>
    <t>Less : Diminution in value of investment</t>
  </si>
  <si>
    <t>Subsidiries companies</t>
  </si>
  <si>
    <t>Amount owing by asso co</t>
  </si>
  <si>
    <t>Less : doubtful debts</t>
  </si>
  <si>
    <t>(Being share of FJK capital reserve for the yr)</t>
  </si>
  <si>
    <t>Associated Company - FJK</t>
  </si>
  <si>
    <t>(Being share of FJK exchange reserves)</t>
  </si>
  <si>
    <t>Exchange Reserves - FJK</t>
  </si>
  <si>
    <t>(Being allocation of exchange reserves for the yr to MI)</t>
  </si>
  <si>
    <t>CJE 20</t>
  </si>
  <si>
    <t>CJE 21</t>
  </si>
  <si>
    <t>(Being reversal of current year proposed dividend - P&amp;L - MI portion)</t>
  </si>
  <si>
    <t>CJE 22</t>
  </si>
  <si>
    <t>Proposed Dividend - B/S</t>
  </si>
  <si>
    <t>Other creditors - B/S</t>
  </si>
  <si>
    <t>Dividend Receivable - B/S</t>
  </si>
  <si>
    <t>CJE 15</t>
  </si>
  <si>
    <t>CJE 20 &amp; 21</t>
  </si>
  <si>
    <t xml:space="preserve"> - Term Loan</t>
  </si>
  <si>
    <t>Term Loan</t>
  </si>
  <si>
    <t>Fujian JK - cje 5 &amp; cje 17</t>
  </si>
  <si>
    <t>CJE 23</t>
  </si>
  <si>
    <t>Prov for diminution in value of investment</t>
  </si>
  <si>
    <t>Prov for diminution in value of investment-P/L b/f</t>
  </si>
  <si>
    <t>Retained Earning c/y</t>
  </si>
  <si>
    <t>FJK RE c/y</t>
  </si>
  <si>
    <t>Dis 2/10/06</t>
  </si>
  <si>
    <t>Dis 7/7/06</t>
  </si>
  <si>
    <t>(+) CJE 23</t>
  </si>
  <si>
    <t>cje 22</t>
  </si>
  <si>
    <t>CJE 24</t>
  </si>
  <si>
    <t>CJE 16</t>
  </si>
  <si>
    <t>CJE 17</t>
  </si>
  <si>
    <t>CJE 18</t>
  </si>
  <si>
    <t>CJE 19</t>
  </si>
  <si>
    <t>(a) Revenue</t>
  </si>
  <si>
    <t>(b) Finance cost</t>
  </si>
  <si>
    <t>( c) Other income</t>
  </si>
  <si>
    <t xml:space="preserve"> - Trade payables</t>
  </si>
  <si>
    <t xml:space="preserve"> - Other payables</t>
  </si>
  <si>
    <t xml:space="preserve"> - Inventories</t>
  </si>
  <si>
    <t xml:space="preserve"> - Trade receivables</t>
  </si>
  <si>
    <t xml:space="preserve"> - Other receivables</t>
  </si>
  <si>
    <t>Capital reserve b/f (2000: 105,809; 2001: 108,192)</t>
  </si>
  <si>
    <t>(i)    (i)  Profit / (loss) after taxation before          .             deducting minority interests</t>
  </si>
  <si>
    <t xml:space="preserve">        (ii)   Less minority interests</t>
  </si>
  <si>
    <t>Investment property</t>
  </si>
  <si>
    <t>Goodwill on consolidation</t>
  </si>
  <si>
    <t>Other long term assets</t>
  </si>
  <si>
    <t>Inventories</t>
  </si>
  <si>
    <t>Deferred taxation</t>
  </si>
  <si>
    <t>Net Tangible assets per share (RM)</t>
  </si>
  <si>
    <t>(f) Share of profits and losses of associated            .    companies</t>
  </si>
  <si>
    <t xml:space="preserve">(a) Profit /(loss) before finance cost,                     .     depreciation and amortisation, exceptional                 .     items, income tax, minority interests and             .     extraordinary items </t>
  </si>
  <si>
    <t xml:space="preserve">(e) Profit / (loss) after interest on borrowings,      .     depreciation and amortisation and                  .     exceptional items but before income tax,       .     minority interests and extraordinary items </t>
  </si>
  <si>
    <t>(g) Profit / (loss) before taxation, minority            .     interests and extraordinary items</t>
  </si>
  <si>
    <t>(j) Pre-acquisition profit/(loss)</t>
  </si>
  <si>
    <t>(k) Net profit / (loss) from ordinary activities          .     attributable to menbers of the company</t>
  </si>
  <si>
    <t>(l)  (i)   Extraordinary items</t>
  </si>
  <si>
    <t>Balance as at       31 Jan 2007</t>
  </si>
  <si>
    <t>31/01/07</t>
  </si>
  <si>
    <t>At market value as at 31/01/07</t>
  </si>
  <si>
    <t>As at 31/01/2007</t>
  </si>
  <si>
    <t>(m) Net profit/(loss) attributable to members            .      of the company</t>
  </si>
  <si>
    <t>Earnings per share based on 2 (m) above after deducting any provision for preference dividends, if any : -</t>
  </si>
  <si>
    <t>Tax refundable</t>
  </si>
  <si>
    <t>Interest - R Credit</t>
  </si>
  <si>
    <t>Term loans</t>
  </si>
  <si>
    <t>(b) Fully diluted (based on 37,614,000              .      ordinary shares)  (sen)</t>
  </si>
  <si>
    <t>Long Term borrowings</t>
  </si>
  <si>
    <t xml:space="preserve">          last yr prov. for taxation (under provision)</t>
  </si>
  <si>
    <t>Less : last yr prov. for bonus</t>
  </si>
  <si>
    <t>in closing stock as follows:</t>
  </si>
  <si>
    <t>Subsequent Events</t>
  </si>
  <si>
    <t>There are no material events subsequent to the end of the quarter reported.</t>
  </si>
  <si>
    <t>Other long term liabilities</t>
  </si>
  <si>
    <t xml:space="preserve">PERMANENT </t>
  </si>
  <si>
    <t>Sub companies - Investment</t>
  </si>
  <si>
    <t>H/Q exp-Jan'2001 - prior year</t>
  </si>
  <si>
    <t xml:space="preserve">Amount owing to JKM </t>
  </si>
  <si>
    <t>CNX  Software</t>
  </si>
  <si>
    <t>Sales consideration as at 2/10/06</t>
  </si>
  <si>
    <t>Less : carrying amount of share at the date of disposal</t>
  </si>
  <si>
    <t>Loss on disposal to parent</t>
  </si>
  <si>
    <t>28/02/07</t>
  </si>
  <si>
    <t>31st January 2007</t>
  </si>
  <si>
    <t>Balance Sheets for the financial year ended 31 January 2007</t>
  </si>
  <si>
    <t>Income Statements for the financial year ended 31 January 2007</t>
  </si>
  <si>
    <t>Less : Realisation of post-acquisition profit</t>
  </si>
  <si>
    <t xml:space="preserve">           Retained profit b/f (RM21,504.29 x 70%)</t>
  </si>
  <si>
    <t xml:space="preserve">           Current loss for the period (RM8,519.31 x 70%)</t>
  </si>
  <si>
    <t>Loss on disposal to group</t>
  </si>
  <si>
    <t>CJE 36</t>
  </si>
  <si>
    <t>(Being adj of group loss on disposal of 70% CNX Software)</t>
  </si>
  <si>
    <t>(Being H/Q exp over provision -YE'2001 - JKPenang)</t>
  </si>
  <si>
    <t>(Being H/Q exp over provision -YE2001 - JK EA)</t>
  </si>
  <si>
    <t>(Being H/Q exp under provision -YE'2001 - JK Johor)</t>
  </si>
  <si>
    <t>(Being Loan Interest under provision -YE'2001 - JK Johor)</t>
  </si>
  <si>
    <t>Adjustment - 1</t>
  </si>
  <si>
    <t>Adjustment - 2</t>
  </si>
  <si>
    <t>Insurance claims</t>
  </si>
  <si>
    <t>Interest - Term Loan</t>
  </si>
  <si>
    <t xml:space="preserve">Interest - RC </t>
  </si>
  <si>
    <t>Sub companies - Dim in value</t>
  </si>
  <si>
    <t>MI share of losses c/f</t>
  </si>
  <si>
    <t>MI losses restricted c/y</t>
  </si>
  <si>
    <t>Share of capital reserve b/f</t>
  </si>
  <si>
    <t>Capital reserve MI</t>
  </si>
  <si>
    <t>Capital Res</t>
  </si>
  <si>
    <t>Restriction on MI share of losses</t>
  </si>
  <si>
    <t>Tax recoverable</t>
  </si>
  <si>
    <t xml:space="preserve">           Accumualted loss b/f (RM1,664,622.53 x 44.50%)</t>
  </si>
  <si>
    <t xml:space="preserve">           Current loss for the period (RM64,737.60 x 44.50%)</t>
  </si>
  <si>
    <t>&lt;CJE33&gt;</t>
  </si>
  <si>
    <t>&lt;CJE 33&gt;</t>
  </si>
  <si>
    <t xml:space="preserve">  4,200,000 x 1.00 / 1.04</t>
  </si>
  <si>
    <t>Sales consideration as at 13/07/06</t>
  </si>
  <si>
    <t>Less : carrying amount of share at the date of disposal (1,400,000 x 50%)</t>
  </si>
  <si>
    <t>Profit on disposal to group</t>
  </si>
  <si>
    <t xml:space="preserve">Prov for obsolete stock </t>
  </si>
  <si>
    <t>&lt;CJE36&gt;</t>
  </si>
  <si>
    <t>&lt;CJE 36&gt;</t>
  </si>
  <si>
    <t>with that of the annual financial statements ended 31st January 2002</t>
  </si>
  <si>
    <t>(Being reversal of prior year adj - JKM)</t>
  </si>
  <si>
    <t>Prov for diminution in value of investment &amp; DD</t>
  </si>
  <si>
    <t>Prov for diminution in value of investment &amp; DD-P/L b/f</t>
  </si>
  <si>
    <t>(Being reversal of prior year adj - Synlux Industries)</t>
  </si>
  <si>
    <t>cje 24: Prov for diminution in value of investment (SIM)</t>
  </si>
  <si>
    <t>(+) CJE 24</t>
  </si>
  <si>
    <t>Prov for diminution in value of investment - JKM</t>
  </si>
  <si>
    <t>Prov for diminution in value of investment - SIM</t>
  </si>
  <si>
    <t>(a) Basic (based on 53,020,000 ordinary             .     shares)  (sen)</t>
  </si>
  <si>
    <t>Exchange reserve b/f</t>
  </si>
  <si>
    <t>Exchange reserve c/y</t>
  </si>
  <si>
    <t>Exchange reserve c/f</t>
  </si>
  <si>
    <t>Exchange reserve c/y - MI</t>
  </si>
  <si>
    <t>Capital Reserve</t>
  </si>
  <si>
    <t>(Being share capital in subsidiary companies eliminated and transfer of goodwill to cost of control)</t>
  </si>
  <si>
    <t>Net Profit for the period</t>
  </si>
  <si>
    <t>(b) Investments in quoted shares as at 31st July 2002.</t>
  </si>
  <si>
    <t>At market value as at 31/07/2002</t>
  </si>
  <si>
    <t xml:space="preserve">Group borrowings and debts securities as at 31st July 2002 : - </t>
  </si>
  <si>
    <t>1st May 2002 ~ 31st Jul 2002</t>
  </si>
  <si>
    <t>1st Feb 2002 ~ 31st July 2002</t>
  </si>
  <si>
    <t>Gain/(Loss) on disposal of Factory Buildings</t>
  </si>
  <si>
    <t>shares after MI</t>
  </si>
  <si>
    <t>Disposal of factory building to JK Sumi</t>
  </si>
  <si>
    <t>Juan Kuang (M) Industrial Bhd</t>
  </si>
  <si>
    <t xml:space="preserve">Land </t>
  </si>
  <si>
    <t>Building</t>
  </si>
  <si>
    <t>Accum. Depn</t>
  </si>
  <si>
    <t>Capital reserve-revaluation</t>
  </si>
  <si>
    <t>Actual NBV before revaluation</t>
  </si>
  <si>
    <t>Sales value</t>
  </si>
  <si>
    <t>Sales proceed</t>
  </si>
  <si>
    <t>Real Property Gain Tax - 5%</t>
  </si>
  <si>
    <t>Juan Kuang Lamps Manufacturer Sdn Bhd</t>
  </si>
  <si>
    <t>Disposal of factory building to JK Wire</t>
  </si>
  <si>
    <t>Capital Reserve :</t>
  </si>
  <si>
    <t>Revaluation on Investment:</t>
  </si>
  <si>
    <t>JKPng</t>
  </si>
  <si>
    <t>JKKtn</t>
  </si>
  <si>
    <t>JKKlg</t>
  </si>
  <si>
    <t>ChipKwong</t>
  </si>
  <si>
    <t>Revaluation on Properties :</t>
  </si>
  <si>
    <t>Lot 12 - Land</t>
  </si>
  <si>
    <t>Lot 12 - Buildings</t>
  </si>
  <si>
    <t>Lot 13513 - Land</t>
  </si>
  <si>
    <t>Lot 13513 - Buildings</t>
  </si>
  <si>
    <t>Lot 12 - Buildings (Extension)</t>
  </si>
  <si>
    <t>Transfer to Issued Share Cap</t>
  </si>
  <si>
    <t>YE / 31-01-1998</t>
  </si>
  <si>
    <t>Disposal of Chip Kwong</t>
  </si>
  <si>
    <t>JK Lamps &amp; JK EA disposed to SIM</t>
  </si>
  <si>
    <t>YE / 31-01-1999</t>
  </si>
  <si>
    <t>YE / 31-07-2002</t>
  </si>
  <si>
    <t>Disposal Lot 12 to JK Sumi</t>
  </si>
  <si>
    <t>Investment in Subsidiaries</t>
  </si>
  <si>
    <t>Investment by JK WH in subsidiary</t>
  </si>
  <si>
    <t>Investment by JKM in subsidiaries</t>
  </si>
  <si>
    <t>Capital Reserves - FJK</t>
  </si>
  <si>
    <t>Capital Reserves - revaluation</t>
  </si>
  <si>
    <t>Less : MI portion</t>
  </si>
  <si>
    <t>Revaluation Reserve</t>
  </si>
  <si>
    <t>Less : Investment in Subsidiaries</t>
  </si>
  <si>
    <t>As at 30/4/02</t>
  </si>
  <si>
    <t>As at 31/7/02</t>
  </si>
  <si>
    <t>Reserves- Revaluation</t>
  </si>
  <si>
    <t>Reserves- Capital</t>
  </si>
  <si>
    <t>Chip Kwong</t>
  </si>
  <si>
    <t>CJE 25</t>
  </si>
  <si>
    <t>Adjustment (CJE 25)</t>
  </si>
  <si>
    <t>Basic Earnings Per Share</t>
  </si>
  <si>
    <t>Date</t>
  </si>
  <si>
    <t>Share Outstanding</t>
  </si>
  <si>
    <t>Balance at beginning of year</t>
  </si>
  <si>
    <t>Gain/(Loss) on disposal of FA</t>
  </si>
  <si>
    <t>Description</t>
  </si>
  <si>
    <t>Balance at end of year</t>
  </si>
  <si>
    <t>shares</t>
  </si>
  <si>
    <t>Yearly</t>
  </si>
  <si>
    <t xml:space="preserve">- </t>
  </si>
  <si>
    <t>Basic Earnings Per Share (sen)</t>
  </si>
  <si>
    <t>MI losses restricted b/f</t>
  </si>
  <si>
    <t>(-)</t>
  </si>
  <si>
    <t>cje 25</t>
  </si>
  <si>
    <t>Quarterly report on consolidated results for the financial quarter ended 31st Oct 2002</t>
  </si>
  <si>
    <t>Revenue</t>
  </si>
  <si>
    <t>Operating Expenses</t>
  </si>
  <si>
    <t>Dividend expense - p/y</t>
  </si>
  <si>
    <t>Taxation - c/y</t>
  </si>
  <si>
    <t>Exchange Reserve of FJK</t>
  </si>
  <si>
    <t>FJK - taxation c/y</t>
  </si>
  <si>
    <t xml:space="preserve">Other income </t>
  </si>
  <si>
    <t>************************************************************************************************</t>
  </si>
  <si>
    <t>ASSETS</t>
  </si>
  <si>
    <t>Non - Current Assets</t>
  </si>
  <si>
    <t>TOTAL ASSETS</t>
  </si>
  <si>
    <t xml:space="preserve">Proceeds from disposal of a subsidiary company </t>
  </si>
  <si>
    <t>Breakdown :-</t>
  </si>
  <si>
    <t>- FJK profit as per schedule</t>
  </si>
  <si>
    <t>Add : share of FJK's current year taxation</t>
  </si>
  <si>
    <t>Gross dividend received from JKWH to JKM</t>
  </si>
  <si>
    <t>Less : inter company gross dividend - JKWH to JKM</t>
  </si>
  <si>
    <t xml:space="preserve"> - Other assets</t>
  </si>
  <si>
    <t>Current year profit / (loss)</t>
  </si>
  <si>
    <t>Share of  FJK' profit during the year</t>
  </si>
  <si>
    <t>Divided received from JKWH to JKM @ RM200,000 X 60%</t>
  </si>
  <si>
    <t>MI share of dividend @ RM200,000 x 40%</t>
  </si>
  <si>
    <t>Balance as per consolidation a/c</t>
  </si>
  <si>
    <t>1) FJK and Meridianotch Sdn Bhd - Current year profit</t>
  </si>
  <si>
    <t>2) Taxation :-</t>
  </si>
  <si>
    <t>Gain on disposal of a subsidiary company</t>
  </si>
  <si>
    <t>Issuance of shares pursuant to ESOS</t>
  </si>
  <si>
    <t>Equity attributable to equity holders of the parent</t>
  </si>
  <si>
    <t>Non Current Liabilities</t>
  </si>
  <si>
    <t>Total Liabilities</t>
  </si>
  <si>
    <t>CJE 5/35</t>
  </si>
  <si>
    <t>TOTAL EQUITY AND LIABILITIES</t>
  </si>
  <si>
    <t>Individual Quarter</t>
  </si>
  <si>
    <t>Cumulative Quarter</t>
  </si>
  <si>
    <t xml:space="preserve">    to equity holders of the parent:</t>
  </si>
  <si>
    <t>Gain on disposal of Factory Buildings</t>
  </si>
  <si>
    <t xml:space="preserve">Inter-co Sales </t>
  </si>
  <si>
    <t>Other Operating Income</t>
  </si>
  <si>
    <t>Finance costs</t>
  </si>
  <si>
    <t>(RM'000)</t>
  </si>
  <si>
    <t>As at end of</t>
  </si>
  <si>
    <t>Current</t>
  </si>
  <si>
    <t xml:space="preserve">As at </t>
  </si>
  <si>
    <t>Year Ended</t>
  </si>
  <si>
    <t>Preceding</t>
  </si>
  <si>
    <t>Trade and others receivables</t>
  </si>
  <si>
    <t>Cash and cash equivalents</t>
  </si>
  <si>
    <t>Borrowings</t>
  </si>
  <si>
    <t>Trade and other payables</t>
  </si>
  <si>
    <t>Exchange rate Differces c/y</t>
  </si>
  <si>
    <t>Minority shareholders' interests</t>
  </si>
  <si>
    <t xml:space="preserve">Net current assets </t>
  </si>
  <si>
    <t>Long term and deferred liabilities</t>
  </si>
  <si>
    <t>Share of profit of associated company</t>
  </si>
  <si>
    <t>Net loss for the period</t>
  </si>
  <si>
    <t>Currency translation differences</t>
  </si>
  <si>
    <t>Issued and fully paid up</t>
  </si>
  <si>
    <t>Distribution</t>
  </si>
  <si>
    <t>shares of RM1 each</t>
  </si>
  <si>
    <t>Non-distribution reserve</t>
  </si>
  <si>
    <t>reserve</t>
  </si>
  <si>
    <t>Number of</t>
  </si>
  <si>
    <t>Nominal</t>
  </si>
  <si>
    <t>Share</t>
  </si>
  <si>
    <t>Revaluation</t>
  </si>
  <si>
    <t>Exchange</t>
  </si>
  <si>
    <t>value</t>
  </si>
  <si>
    <t>Premium</t>
  </si>
  <si>
    <t>Exchange Res b/f</t>
  </si>
  <si>
    <t>Exchange Res b/f MI</t>
  </si>
  <si>
    <t xml:space="preserve">Capital Reserves </t>
  </si>
  <si>
    <t>- Meridianotch Sdn Bhd's loss (RM508,579 x 50%)</t>
  </si>
  <si>
    <t>&lt;CJE 17&gt; As per consolidation BS</t>
  </si>
  <si>
    <t>Capital Reserves breakdown :-</t>
  </si>
  <si>
    <t>share of FJK capital reserve for the year -2005 &lt;CJE 17&gt;</t>
  </si>
  <si>
    <t xml:space="preserve">                                                                       - 2006 &lt;CJE 17&gt;</t>
  </si>
  <si>
    <t xml:space="preserve">                                                                       - 2007 &lt;CJE 17&gt;</t>
  </si>
  <si>
    <t>Reserve - Exchange</t>
  </si>
  <si>
    <t>Minority interest on exchange reserve b/f &lt;CJE 3&gt;</t>
  </si>
  <si>
    <t>Share of FJK current year exchange reserve &lt;CJE 18&gt;</t>
  </si>
  <si>
    <t>Share of FJK exchange reserves b/f &lt;CJE5&gt;</t>
  </si>
  <si>
    <t>Allocation of FJK current year exchange reserves to MI &lt;CJE 19&gt;</t>
  </si>
  <si>
    <t>Minority interest on  share capital reserves  b/f &lt;CJE 3&gt;</t>
  </si>
  <si>
    <t>share of FJK captial reserve b/f &lt;CJE 5&gt;</t>
  </si>
  <si>
    <t>Revaluation reserves breakdown :-</t>
  </si>
  <si>
    <t xml:space="preserve">JK Penang </t>
  </si>
  <si>
    <t>Less : consolidation adjustments</t>
  </si>
  <si>
    <t>Eliminatin of subsidiaries revaluation surplus b/f &lt;CJE 2&gt;</t>
  </si>
  <si>
    <t>Minority interest by subsidiaries b/f &lt;CJE 3&gt;</t>
  </si>
  <si>
    <t>Others Investment</t>
  </si>
  <si>
    <t>Insan Indah - Naluri and KYM quoted shares</t>
  </si>
  <si>
    <t>Associate Companies  :-</t>
  </si>
  <si>
    <t>- share Meridianotch current year loss &lt;CJE 35&gt;</t>
  </si>
  <si>
    <t>- share of FJK  current year exchange reserves 25% &lt;CJE 18&gt;</t>
  </si>
  <si>
    <t>- share of FJK current year net assets 25% &lt;CJE 5&gt;</t>
  </si>
  <si>
    <t>31.01.2007</t>
  </si>
  <si>
    <t>31.10.2006</t>
  </si>
  <si>
    <t>5,256,298 - (33,056,910)</t>
  </si>
  <si>
    <t>MI-B/S CNX Solutions</t>
  </si>
  <si>
    <t>Reversal prior year year revaluation reserves on consolidation &lt;CJE 26&gt;</t>
  </si>
  <si>
    <t>&lt;intercompany bal JKWH &amp; JKSWH - sub co dd&gt; @ 3,671,979 - 24,738 +1,156,000</t>
  </si>
  <si>
    <t>&lt;investment in sub - sub co dim in value + fair value adj&gt;</t>
  </si>
  <si>
    <t>2,268,137 - 24,738 + 1,156,000</t>
  </si>
  <si>
    <t>5,374,476 +17,045,134 + 700,001</t>
  </si>
  <si>
    <t>Dividend received from FJK (60%)</t>
  </si>
  <si>
    <t>Note : dividend payables</t>
  </si>
  <si>
    <t>Total proposed dividend from JKWH</t>
  </si>
  <si>
    <t>cje 29: Adjust for pre acquisition profit in J K Lamps</t>
  </si>
  <si>
    <t>Transfer from Revaluation Reserve to Retained profit</t>
  </si>
  <si>
    <t>Adjustment for non-cash flow:-</t>
  </si>
  <si>
    <t>Depreciation of property, plant and equipment</t>
  </si>
  <si>
    <t>Interest expense</t>
  </si>
  <si>
    <t>Interest income</t>
  </si>
  <si>
    <t>Changes in working capital</t>
  </si>
  <si>
    <t>Financing Activities</t>
  </si>
  <si>
    <t>NOTES TO INTERIM FINANCIAL REPORT (IFR)</t>
  </si>
  <si>
    <t>Dividend expense - c/y</t>
  </si>
  <si>
    <t>(as at 30/9/02)</t>
  </si>
  <si>
    <t>Interest received</t>
  </si>
  <si>
    <t>Checking</t>
  </si>
  <si>
    <t>Dividend receivable</t>
  </si>
  <si>
    <t>A6</t>
  </si>
  <si>
    <t>Prov. For D/D</t>
  </si>
  <si>
    <t>(+) CJE 30</t>
  </si>
  <si>
    <t>Term loan repayment</t>
  </si>
  <si>
    <t>Repayment during the year</t>
  </si>
  <si>
    <t xml:space="preserve">Total </t>
  </si>
  <si>
    <t>B1</t>
  </si>
  <si>
    <t>Monthly repayment</t>
  </si>
  <si>
    <t>Cumulative Year</t>
  </si>
  <si>
    <t>to-date ended</t>
  </si>
  <si>
    <t>Current Quarter</t>
  </si>
  <si>
    <t>- Tax for current year</t>
  </si>
  <si>
    <t>- Deferred tax for the current year</t>
  </si>
  <si>
    <t>Fully Diluted Earning Per Share</t>
  </si>
  <si>
    <t>B3</t>
  </si>
  <si>
    <t>Quoted Investments</t>
  </si>
  <si>
    <t>(a) Purchases and disposal of quoted securities</t>
  </si>
  <si>
    <t>B5</t>
  </si>
  <si>
    <t xml:space="preserve">Borrowings and debt securities </t>
  </si>
  <si>
    <t xml:space="preserve">         Secured</t>
  </si>
  <si>
    <t xml:space="preserve">         Unsecured</t>
  </si>
  <si>
    <t>Gain/(Loss) on disposal of Subsidiary</t>
  </si>
  <si>
    <t>Short Term</t>
  </si>
  <si>
    <t>Long Term</t>
  </si>
  <si>
    <t>A8</t>
  </si>
  <si>
    <t>Segmental Reporting (Analysis by business segments)</t>
  </si>
  <si>
    <t>Profit / (Loss) before tax</t>
  </si>
  <si>
    <t>Gross Revenue</t>
  </si>
  <si>
    <t>EPS - Basic (sen)</t>
  </si>
  <si>
    <t>Issurance of shares</t>
  </si>
  <si>
    <t xml:space="preserve">Issuance of Shares </t>
  </si>
  <si>
    <t xml:space="preserve">        - Diluted (sen)</t>
  </si>
  <si>
    <t>Minority interests</t>
  </si>
  <si>
    <t>Condensed Consolidated Income Statements</t>
  </si>
  <si>
    <t>Condensed Consolidated Balance Sheets</t>
  </si>
  <si>
    <t>Condensed Consolidated Cash Flow Statements</t>
  </si>
  <si>
    <t>Condensed Consolidated Statements of Changes in Equity</t>
  </si>
  <si>
    <t>Taxation **</t>
  </si>
  <si>
    <t>Depreciation (Adminitrative)</t>
  </si>
  <si>
    <t>Depreciation (Adm)</t>
  </si>
  <si>
    <t>reclassed To Cost of Sales from Factory/ Prod)</t>
  </si>
  <si>
    <t>Realised of Revaluation Reserve</t>
  </si>
  <si>
    <t>Net Change in current assets</t>
  </si>
  <si>
    <t>Gross dividend received from Naluri Corporation Bhd to JKM</t>
  </si>
  <si>
    <t>Retained profit b/f - CNX Software</t>
  </si>
  <si>
    <t>Realised on diposal of shares</t>
  </si>
  <si>
    <t>Investment in ass. Co</t>
  </si>
  <si>
    <t>Balance Sheet as at 31.01.07</t>
  </si>
  <si>
    <t>01.01.06-31.01.07</t>
  </si>
  <si>
    <t>1.1.2006 to 31.12.2006</t>
  </si>
  <si>
    <t>Add :  Profit on Jan 2007</t>
  </si>
  <si>
    <t>Add   : Profit on Jan 2007</t>
  </si>
  <si>
    <t>JK's Share @ 25% @ 0.4709</t>
  </si>
  <si>
    <t>Monthly Management Accounts - Cumulative Year-To-Date (Feb'2006 to Jan 2007)</t>
  </si>
  <si>
    <t>- Overprovision for pervious year</t>
  </si>
  <si>
    <t>Net Change in current liabilities</t>
  </si>
  <si>
    <t>Net Profit / (loss) before tax</t>
  </si>
  <si>
    <t>Investing Activities</t>
  </si>
  <si>
    <t>Property, Plant and Equipment</t>
  </si>
  <si>
    <t>MI per consol balance sheet</t>
  </si>
  <si>
    <t>Current year loss</t>
  </si>
  <si>
    <t>(Being adj of group gain on disposal of 44.5% CNX Solutions)</t>
  </si>
  <si>
    <t>Investment in ass co.</t>
  </si>
  <si>
    <t>Investment in Associated Company</t>
  </si>
  <si>
    <t>Interest paid</t>
  </si>
  <si>
    <t>Net cash generated from / (used in) operating activities</t>
  </si>
  <si>
    <t>Balance b/f</t>
  </si>
  <si>
    <t xml:space="preserve">Add : current year provision </t>
  </si>
  <si>
    <t>Less : current year paid</t>
  </si>
  <si>
    <t>Balance c/f</t>
  </si>
  <si>
    <t>Variance</t>
  </si>
  <si>
    <t>Check</t>
  </si>
  <si>
    <t>Remarks</t>
  </si>
  <si>
    <t>- Depreciation</t>
  </si>
  <si>
    <t>- gain on disposal of fixed assets</t>
  </si>
  <si>
    <t>- Purchase of fixed assets</t>
  </si>
  <si>
    <t>- Proceeds from sale of fixed assets</t>
  </si>
  <si>
    <t>ASSOCIATED COMPANIES</t>
  </si>
  <si>
    <t>- Dividend received from associate co</t>
  </si>
  <si>
    <t>- Share of asso co's exchange reserve</t>
  </si>
  <si>
    <t>- Repayment by associate co</t>
  </si>
  <si>
    <t>- Provision for doubtful debts</t>
  </si>
  <si>
    <t xml:space="preserve">QUOTED INVESTMENT </t>
  </si>
  <si>
    <t xml:space="preserve">UNQUOTED INVESTMENT </t>
  </si>
  <si>
    <t>GOODWILL</t>
  </si>
  <si>
    <t>CURRENT ASSETS</t>
  </si>
  <si>
    <t>Stocks</t>
  </si>
  <si>
    <t>- Decrease in stocks</t>
  </si>
  <si>
    <t>CNX Soluation</t>
  </si>
  <si>
    <t>Profit on disposal to parent</t>
  </si>
  <si>
    <t>Proposed dividend from JKWH  to JKM (RM200.00 x 60%)</t>
  </si>
  <si>
    <t>Proposed dividend from JKWH to MI )RM200.00 x 40%)</t>
  </si>
  <si>
    <t>Less : Realisation of post-acquisition losses</t>
  </si>
  <si>
    <t>- settlement of debts via transfer of properties</t>
  </si>
  <si>
    <t>- Provision for slow moving stock write back</t>
  </si>
  <si>
    <t>- Provision for stock obsolescences</t>
  </si>
  <si>
    <t>Debtors</t>
  </si>
  <si>
    <t>- Bad debts written off</t>
  </si>
  <si>
    <t>- Increase in debtors</t>
  </si>
  <si>
    <t>- Taxation paid</t>
  </si>
  <si>
    <t>Cash and bank balances</t>
  </si>
  <si>
    <t>CURRENT LIABILITIES</t>
  </si>
  <si>
    <t>Creditors</t>
  </si>
  <si>
    <t>- Dividend paid to MI</t>
  </si>
  <si>
    <t>- Advances from related party</t>
  </si>
  <si>
    <t>- Deposit paid to related parties</t>
  </si>
  <si>
    <t>- Decrease in Creditors</t>
  </si>
  <si>
    <t>- Taxation refunded</t>
  </si>
  <si>
    <t>- Provision for taxation</t>
  </si>
  <si>
    <t>Bank Borrowings</t>
  </si>
  <si>
    <t>NET CURRENT ASSETS</t>
  </si>
  <si>
    <t>FINANCED BY:</t>
  </si>
  <si>
    <t>SHARE CAPITAL</t>
  </si>
  <si>
    <t>CAPITAL RESERVE</t>
  </si>
  <si>
    <t>EXCHANGE RESERVE</t>
  </si>
  <si>
    <t>- MI share of asso co's exchange reserve</t>
  </si>
  <si>
    <t>SHARE PREMIUM</t>
  </si>
  <si>
    <t>RETAINED PROFIT</t>
  </si>
  <si>
    <t>- Group PBT</t>
  </si>
  <si>
    <t>- Provision for tax</t>
  </si>
  <si>
    <t>- Current year defered tax</t>
  </si>
  <si>
    <t>- Over provision of tax in the prior year</t>
  </si>
  <si>
    <t>- Over provision of def tax in the prior year</t>
  </si>
  <si>
    <t>- MI share</t>
  </si>
  <si>
    <t>SHAREHOLDERS FUNDS</t>
  </si>
  <si>
    <t>- Current year unrealised profits on stocks</t>
  </si>
  <si>
    <t>DEFERRED TAXATION</t>
  </si>
  <si>
    <t>- Under-provision for prior year</t>
  </si>
  <si>
    <t>Repayment</t>
  </si>
  <si>
    <t>- JK KL</t>
  </si>
  <si>
    <t>- JK KLANG</t>
  </si>
  <si>
    <t>- JKM</t>
  </si>
  <si>
    <t>- JK PENANG</t>
  </si>
  <si>
    <t>- JK SUMI</t>
  </si>
  <si>
    <t>Jan'2002</t>
  </si>
  <si>
    <t>EQUIPMENT</t>
  </si>
  <si>
    <t>PROPERTY, PLANT &amp;</t>
  </si>
  <si>
    <t>- Share of profit 2002 - Fujian</t>
  </si>
  <si>
    <t>- FD Interest</t>
  </si>
  <si>
    <t>INVESTMENT PROPERTY</t>
  </si>
  <si>
    <t>REVALUATION RESERVE</t>
  </si>
  <si>
    <t>LONG TERM BORROWINGS</t>
  </si>
  <si>
    <t>- Increase in bank borrowings</t>
  </si>
  <si>
    <t>- Reliasation on revaluation reserve</t>
  </si>
  <si>
    <t>- repayment of term loan</t>
  </si>
  <si>
    <t>- Realisation of revaluation reserve - MI portion</t>
  </si>
  <si>
    <t>- reclassification - JK KL to Eureka</t>
  </si>
  <si>
    <t>- Increase in Creditors</t>
  </si>
  <si>
    <t>- Progress payment to Harta Makmur</t>
  </si>
  <si>
    <t>- Increase in cash and bank balance</t>
  </si>
  <si>
    <t>- Warrant conversion</t>
  </si>
  <si>
    <t>- MI share of profit for 2002</t>
  </si>
  <si>
    <t>Balance at 1 February 2005</t>
  </si>
  <si>
    <t>- Real property gain tax</t>
  </si>
  <si>
    <t>PART A2     :      SUMMARY OF KEY FINANCIAL INFORMATION</t>
  </si>
  <si>
    <t>Summary of Key Financial Information</t>
  </si>
  <si>
    <t>for the financial period ended</t>
  </si>
  <si>
    <t>Preceding Year</t>
  </si>
  <si>
    <t>Investment in Associated Companies</t>
  </si>
  <si>
    <t xml:space="preserve">Corresponding </t>
  </si>
  <si>
    <t>Period</t>
  </si>
  <si>
    <t>Current Year</t>
  </si>
  <si>
    <t xml:space="preserve"> To Date</t>
  </si>
  <si>
    <t>Profit/(Loss) before tax</t>
  </si>
  <si>
    <t>Profit/(Loss) after tax and minority interest</t>
  </si>
  <si>
    <t>Net profit/(loss) for the period</t>
  </si>
  <si>
    <t>Proceeds from disposal of quoted investment</t>
  </si>
  <si>
    <t>Basic earnings/(loss) per share (sen)</t>
  </si>
  <si>
    <t>Dividends per share (sen)</t>
  </si>
  <si>
    <t>Net tangible assets per share (RM)</t>
  </si>
  <si>
    <t>Remark :</t>
  </si>
  <si>
    <t xml:space="preserve">Current Year </t>
  </si>
  <si>
    <t>PART A3     :      ADDITIONAL INFORMATION</t>
  </si>
  <si>
    <t>Gross interest income</t>
  </si>
  <si>
    <t>Gross interest expense</t>
  </si>
  <si>
    <t>Profit/(Loss) from Operations</t>
  </si>
  <si>
    <t>As At 30 April 2005</t>
  </si>
  <si>
    <t>Profit/(Loss) after tax</t>
  </si>
  <si>
    <t>JUAN KUANG (M) INDUSTRIAL BERHAD (Co. No. 73170-V)</t>
  </si>
  <si>
    <t>Computation of cost of quoted shares :-</t>
  </si>
  <si>
    <t>Total investment cost</t>
  </si>
  <si>
    <t>Investment cost in KYM - Pre rights</t>
  </si>
  <si>
    <t>Investment cost in KYM  - right issues</t>
  </si>
  <si>
    <t>Total cost</t>
  </si>
  <si>
    <t>No of shares</t>
  </si>
  <si>
    <t>cost per unit (average)</t>
  </si>
  <si>
    <t>Total no of shares held as at 31.01.2007</t>
  </si>
  <si>
    <t>Therefore total as at 31.01.2007</t>
  </si>
  <si>
    <t>Market price as at 31.01.2007</t>
  </si>
  <si>
    <t>Therefore market value as at 31.01.2007</t>
  </si>
  <si>
    <t>Naluri Shares :-</t>
  </si>
  <si>
    <t>KYM Shares :-</t>
  </si>
  <si>
    <t xml:space="preserve">JKM - Tropicana Golf and Country Resort Bhd </t>
  </si>
  <si>
    <t>At Cost</t>
  </si>
  <si>
    <t>At Market Price</t>
  </si>
  <si>
    <t>Year to date</t>
  </si>
  <si>
    <t xml:space="preserve"> - Bad debts written off</t>
  </si>
  <si>
    <t xml:space="preserve"> - Related parties</t>
  </si>
  <si>
    <t>CJE 26</t>
  </si>
  <si>
    <t>Tax refund - p/y (RMB400K)</t>
  </si>
  <si>
    <t>WORKING - CASH FLOW STATEMENT FOR THE YEAR ENDED 31 JANUARY 2003</t>
  </si>
  <si>
    <t>Jan'2003</t>
  </si>
  <si>
    <t>Transfer from Revaluation Reserve to retained profit</t>
  </si>
  <si>
    <t>Amount owing by Ass Co.</t>
  </si>
  <si>
    <t>CJE 34</t>
  </si>
  <si>
    <t xml:space="preserve">Retained Profit - CNX Soluions </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</si>
</sst>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0_);_(* \(#,##0.000\);_(* &quot;-&quot;??_);_(@_)"/>
    <numFmt numFmtId="175" formatCode="_(* #,##0.0_);_(* \(#,##0.0\);_(* &quot;-&quot;??_);_(@_)"/>
    <numFmt numFmtId="176" formatCode="_(* #,##0_);_(* \(#,##0\);_(* &quot;-&quot;??_);_(@_)"/>
    <numFmt numFmtId="177" formatCode="_(* #,##0.000_);_(* \(#,##0.000\);_(* &quot;-&quot;???_);_(@_)"/>
    <numFmt numFmtId="178" formatCode="_(* #,##0.00000_);_(* \(#,##0.00000\);_(* &quot;-&quot;??_);_(@_)"/>
    <numFmt numFmtId="179" formatCode="_(* #,##0.0000_);_(* \(#,##0.0000\);_(* &quot;-&quot;??_);_(@_)"/>
    <numFmt numFmtId="180" formatCode="0_)"/>
    <numFmt numFmtId="181" formatCode="0.0000_)"/>
    <numFmt numFmtId="182" formatCode="0.000_)"/>
    <numFmt numFmtId="183" formatCode="_(* #,##0.000000_);_(* \(#,##0.000000\);_(* &quot;-&quot;??_);_(@_)"/>
    <numFmt numFmtId="184" formatCode="0.000"/>
    <numFmt numFmtId="185" formatCode="dd/mmm/yyyy"/>
    <numFmt numFmtId="186" formatCode="#,##0;[Red]\(#,##0\)"/>
    <numFmt numFmtId="187" formatCode="_-* #,##0_-;\-* #,##0_-;_-* &quot;-&quot;??_-;_-@_-"/>
    <numFmt numFmtId="188" formatCode="dd\-mm\-yyyy"/>
    <numFmt numFmtId="189" formatCode="dd\-mmm\-yyyy"/>
    <numFmt numFmtId="190" formatCode="dd\-mmm\-yyyy_)"/>
    <numFmt numFmtId="191" formatCode="#,##0.000_);[Red]\(#,##0.000\)"/>
    <numFmt numFmtId="192" formatCode="_(* #,##0.0000000000000000_);_(* \(#,##0.0000000000000000\);_(* &quot;-&quot;??_);_(@_)"/>
    <numFmt numFmtId="193" formatCode="_(* #,##0.000000_);_(* \(#,##0.000000\);_(* &quot;-&quot;??????_);_(@_)"/>
    <numFmt numFmtId="194" formatCode="_(* #,##0.0000000_);_(* \(#,##0.0000000\);_(* &quot;-&quot;??_);_(@_)"/>
    <numFmt numFmtId="195" formatCode="_(* #,##0.00000000_);_(* \(#,##0.00000000\);_(* &quot;-&quot;??_);_(@_)"/>
    <numFmt numFmtId="196" formatCode="_(* #,##0.0000_);_(* \(#,##0.0000\);_(* &quot;-&quot;????_);_(@_)"/>
    <numFmt numFmtId="197" formatCode="_-* #,##0.000_-;\-* #,##0.000_-;_-* &quot;-&quot;???_-;_-@_-"/>
    <numFmt numFmtId="198" formatCode="_(* #,##0.00000_);_(* \(#,##0.00000\);_(* &quot;-&quot;?????_);_(@_)"/>
    <numFmt numFmtId="199" formatCode="_(* #,##0.0000_);_(* \(#,##0.000000\);_(* &quot;-&quot;??_);_(@_)"/>
    <numFmt numFmtId="200" formatCode="_(* #,##0.0000\);_(* \(#,##0.000\);_(* &quot;-&quot;??_);_(@_)"/>
    <numFmt numFmtId="201" formatCode="_(* #,##0.000\);_(* \(#,##0.000\);_(* &quot;-&quot;??_);_(@_)"/>
    <numFmt numFmtId="202" formatCode="#,##0.000_);\(#,##0.000\)"/>
    <numFmt numFmtId="203" formatCode="_(* #,##0.0_);_(* \(#,##0.0\);_(* &quot;-&quot;?_);_(@_)"/>
  </numFmts>
  <fonts count="61">
    <font>
      <sz val="10"/>
      <name val="Arial"/>
      <family val="0"/>
    </font>
    <font>
      <sz val="10"/>
      <name val="Times New Roman"/>
      <family val="1"/>
    </font>
    <font>
      <sz val="10"/>
      <color indexed="10"/>
      <name val="Times New Roman"/>
      <family val="1"/>
    </font>
    <font>
      <i/>
      <sz val="10"/>
      <name val="Times New Roman"/>
      <family val="1"/>
    </font>
    <font>
      <b/>
      <u val="single"/>
      <sz val="10"/>
      <name val="Times New Roman"/>
      <family val="1"/>
    </font>
    <font>
      <b/>
      <sz val="12"/>
      <name val="Times New Roman"/>
      <family val="1"/>
    </font>
    <font>
      <b/>
      <sz val="10"/>
      <name val="Times New Roman"/>
      <family val="1"/>
    </font>
    <font>
      <sz val="9"/>
      <name val="Times New Roman"/>
      <family val="1"/>
    </font>
    <font>
      <b/>
      <sz val="9"/>
      <name val="Times New Roman"/>
      <family val="1"/>
    </font>
    <font>
      <sz val="10"/>
      <color indexed="12"/>
      <name val="Times New Roman"/>
      <family val="1"/>
    </font>
    <font>
      <u val="single"/>
      <sz val="10"/>
      <name val="Times New Roman"/>
      <family val="1"/>
    </font>
    <font>
      <sz val="8"/>
      <name val="Times New Roman"/>
      <family val="1"/>
    </font>
    <font>
      <b/>
      <sz val="11"/>
      <name val="Garamond"/>
      <family val="1"/>
    </font>
    <font>
      <sz val="11"/>
      <name val="Garamond"/>
      <family val="1"/>
    </font>
    <font>
      <sz val="10"/>
      <name val="Garamond"/>
      <family val="1"/>
    </font>
    <font>
      <i/>
      <sz val="9"/>
      <name val="Times New Roman"/>
      <family val="1"/>
    </font>
    <font>
      <b/>
      <u val="single"/>
      <sz val="12"/>
      <name val="Times New Roman"/>
      <family val="1"/>
    </font>
    <font>
      <b/>
      <sz val="14"/>
      <name val="Times New Roman"/>
      <family val="1"/>
    </font>
    <font>
      <b/>
      <i/>
      <sz val="10"/>
      <name val="Times New Roman"/>
      <family val="1"/>
    </font>
    <font>
      <u val="single"/>
      <sz val="11"/>
      <name val="Garamond"/>
      <family val="1"/>
    </font>
    <font>
      <sz val="11"/>
      <name val="Times New Roman"/>
      <family val="1"/>
    </font>
    <font>
      <sz val="10"/>
      <color indexed="14"/>
      <name val="Times New Roman"/>
      <family val="1"/>
    </font>
    <font>
      <b/>
      <sz val="11"/>
      <color indexed="8"/>
      <name val="Times New Roman"/>
      <family val="0"/>
    </font>
    <font>
      <sz val="11"/>
      <color indexed="8"/>
      <name val="Times New Roman"/>
      <family val="0"/>
    </font>
    <font>
      <i/>
      <sz val="9"/>
      <color indexed="8"/>
      <name val="Times New Roman"/>
      <family val="1"/>
    </font>
    <font>
      <sz val="8"/>
      <name val="Tahoma"/>
      <family val="0"/>
    </font>
    <font>
      <sz val="11"/>
      <color indexed="10"/>
      <name val="Times New Roman"/>
      <family val="1"/>
    </font>
    <font>
      <i/>
      <sz val="11"/>
      <color indexed="8"/>
      <name val="Times New Roman"/>
      <family val="1"/>
    </font>
    <font>
      <sz val="10"/>
      <color indexed="8"/>
      <name val="Times New Roman"/>
      <family val="1"/>
    </font>
    <font>
      <i/>
      <sz val="10"/>
      <color indexed="10"/>
      <name val="Times New Roman"/>
      <family val="1"/>
    </font>
    <font>
      <i/>
      <u val="singleAccounting"/>
      <sz val="10"/>
      <color indexed="10"/>
      <name val="Times New Roman"/>
      <family val="1"/>
    </font>
    <font>
      <u val="singleAccounting"/>
      <sz val="10"/>
      <name val="Times New Roman"/>
      <family val="1"/>
    </font>
    <font>
      <b/>
      <sz val="10"/>
      <name val="Arial"/>
      <family val="2"/>
    </font>
    <font>
      <sz val="10"/>
      <color indexed="10"/>
      <name val="Arial"/>
      <family val="2"/>
    </font>
    <font>
      <b/>
      <u val="single"/>
      <sz val="10"/>
      <name val="Arial"/>
      <family val="2"/>
    </font>
    <font>
      <u val="single"/>
      <sz val="10"/>
      <name val="Arial"/>
      <family val="2"/>
    </font>
    <font>
      <sz val="10"/>
      <color indexed="57"/>
      <name val="Arial"/>
      <family val="2"/>
    </font>
    <font>
      <b/>
      <sz val="8"/>
      <name val="Tahoma"/>
      <family val="0"/>
    </font>
    <font>
      <b/>
      <i/>
      <sz val="10"/>
      <color indexed="10"/>
      <name val="Arial"/>
      <family val="2"/>
    </font>
    <font>
      <i/>
      <sz val="9"/>
      <color indexed="10"/>
      <name val="Times New Roman"/>
      <family val="1"/>
    </font>
    <font>
      <sz val="11"/>
      <color indexed="48"/>
      <name val="Times New Roman"/>
      <family val="1"/>
    </font>
    <font>
      <sz val="10"/>
      <color indexed="16"/>
      <name val="Times New Roman"/>
      <family val="1"/>
    </font>
    <font>
      <b/>
      <sz val="10"/>
      <name val="Arial Narrow"/>
      <family val="2"/>
    </font>
    <font>
      <sz val="10"/>
      <name val="Arial Narrow"/>
      <family val="2"/>
    </font>
    <font>
      <sz val="10"/>
      <color indexed="48"/>
      <name val="Times New Roman"/>
      <family val="1"/>
    </font>
    <font>
      <b/>
      <i/>
      <sz val="10"/>
      <color indexed="10"/>
      <name val="Times New Roman"/>
      <family val="1"/>
    </font>
    <font>
      <u val="single"/>
      <sz val="10"/>
      <color indexed="12"/>
      <name val="Arial"/>
      <family val="0"/>
    </font>
    <font>
      <u val="single"/>
      <sz val="10"/>
      <color indexed="36"/>
      <name val="Arial"/>
      <family val="0"/>
    </font>
    <font>
      <i/>
      <sz val="10"/>
      <name val="Arial"/>
      <family val="2"/>
    </font>
    <font>
      <i/>
      <u val="single"/>
      <sz val="10"/>
      <name val="Arial"/>
      <family val="2"/>
    </font>
    <font>
      <u val="single"/>
      <sz val="11"/>
      <color indexed="8"/>
      <name val="Times New Roman"/>
      <family val="1"/>
    </font>
    <font>
      <b/>
      <u val="single"/>
      <sz val="11"/>
      <color indexed="8"/>
      <name val="Times New Roman"/>
      <family val="1"/>
    </font>
    <font>
      <u val="single"/>
      <sz val="11"/>
      <name val="Times New Roman"/>
      <family val="1"/>
    </font>
    <font>
      <b/>
      <u val="single"/>
      <sz val="11"/>
      <name val="Times New Roman"/>
      <family val="1"/>
    </font>
    <font>
      <u val="single"/>
      <sz val="12"/>
      <name val="Times New Roman"/>
      <family val="1"/>
    </font>
    <font>
      <sz val="12"/>
      <name val="Times New Roman"/>
      <family val="1"/>
    </font>
    <font>
      <sz val="12"/>
      <name val="Arial"/>
      <family val="2"/>
    </font>
    <font>
      <u val="single"/>
      <sz val="12"/>
      <name val="Arial"/>
      <family val="2"/>
    </font>
    <font>
      <sz val="8"/>
      <name val="Arial"/>
      <family val="0"/>
    </font>
    <font>
      <i/>
      <u val="singleAccounting"/>
      <sz val="10"/>
      <name val="Times New Roman"/>
      <family val="1"/>
    </font>
    <font>
      <b/>
      <sz val="8"/>
      <name val="Arial"/>
      <family val="2"/>
    </font>
  </fonts>
  <fills count="9">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95">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color indexed="63"/>
      </right>
      <top style="thin"/>
      <bottom style="medium"/>
    </border>
    <border>
      <left style="thin"/>
      <right>
        <color indexed="63"/>
      </right>
      <top style="thin"/>
      <bottom style="medium"/>
    </border>
    <border>
      <left>
        <color indexed="63"/>
      </left>
      <right style="thin"/>
      <top>
        <color indexed="63"/>
      </top>
      <bottom style="thin"/>
    </border>
    <border>
      <left style="thin"/>
      <right style="medium"/>
      <top style="thin"/>
      <bottom style="medium"/>
    </border>
    <border>
      <left style="double"/>
      <right>
        <color indexed="63"/>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style="medium"/>
      <right style="double"/>
      <top>
        <color indexed="63"/>
      </top>
      <bottom>
        <color indexed="63"/>
      </bottom>
    </border>
    <border>
      <left>
        <color indexed="63"/>
      </left>
      <right style="double"/>
      <top>
        <color indexed="63"/>
      </top>
      <bottom style="thin"/>
    </border>
    <border>
      <left style="medium"/>
      <right style="double"/>
      <top style="thin"/>
      <bottom>
        <color indexed="63"/>
      </bottom>
    </border>
    <border>
      <left style="medium"/>
      <right style="double"/>
      <top>
        <color indexed="63"/>
      </top>
      <bottom style="medium"/>
    </border>
    <border>
      <left>
        <color indexed="63"/>
      </left>
      <right style="double"/>
      <top style="thin"/>
      <bottom>
        <color indexed="63"/>
      </bottom>
    </border>
    <border>
      <left>
        <color indexed="63"/>
      </left>
      <right style="double"/>
      <top style="thin"/>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medium"/>
      <top style="thin"/>
      <bottom style="double"/>
    </border>
    <border>
      <left style="thin"/>
      <right style="thin"/>
      <top style="thin"/>
      <bottom style="double"/>
    </border>
    <border>
      <left style="thin"/>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style="thin"/>
      <top style="thin"/>
      <bottom style="medium"/>
    </border>
    <border>
      <left style="medium"/>
      <right>
        <color indexed="63"/>
      </right>
      <top style="thin"/>
      <bottom style="thin"/>
    </border>
    <border>
      <left style="thin"/>
      <right style="thin"/>
      <top style="thin"/>
      <bottom style="medium"/>
    </border>
    <border>
      <left style="thin">
        <color indexed="8"/>
      </left>
      <right style="thin">
        <color indexed="8"/>
      </right>
      <top style="thin">
        <color indexed="8"/>
      </top>
      <bottom style="thin">
        <color indexed="8"/>
      </bottom>
    </border>
    <border>
      <left style="double"/>
      <right>
        <color indexed="63"/>
      </right>
      <top style="thin"/>
      <bottom style="thin"/>
    </border>
    <border>
      <left style="double"/>
      <right style="thin"/>
      <top>
        <color indexed="63"/>
      </top>
      <bottom>
        <color indexed="63"/>
      </bottom>
    </border>
    <border>
      <left style="double"/>
      <right style="thin"/>
      <top style="thin"/>
      <bottom style="thin"/>
    </border>
    <border>
      <left style="medium"/>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style="medium"/>
    </border>
    <border>
      <left>
        <color indexed="63"/>
      </left>
      <right>
        <color indexed="63"/>
      </right>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style="thin"/>
      <right>
        <color indexed="63"/>
      </right>
      <top style="thin"/>
      <bottom style="double"/>
    </border>
    <border>
      <left style="medium"/>
      <right style="medium"/>
      <top>
        <color indexed="63"/>
      </top>
      <bottom style="medium"/>
    </border>
    <border>
      <left style="thin"/>
      <right style="medium"/>
      <top style="thin"/>
      <bottom style="thin"/>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medium"/>
      <bottom style="mediu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thin"/>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9" fontId="0" fillId="0" borderId="0" applyFont="0" applyFill="0" applyBorder="0" applyAlignment="0" applyProtection="0"/>
  </cellStyleXfs>
  <cellXfs count="1146">
    <xf numFmtId="0" fontId="0" fillId="0" borderId="0" xfId="0" applyAlignment="1">
      <alignment/>
    </xf>
    <xf numFmtId="174" fontId="1" fillId="0" borderId="0" xfId="15" applyNumberFormat="1" applyFont="1" applyAlignment="1">
      <alignment/>
    </xf>
    <xf numFmtId="0" fontId="1" fillId="0" borderId="0" xfId="0" applyFont="1" applyAlignment="1">
      <alignment/>
    </xf>
    <xf numFmtId="176" fontId="1" fillId="0" borderId="0" xfId="15" applyNumberFormat="1" applyFont="1" applyAlignment="1">
      <alignment/>
    </xf>
    <xf numFmtId="176" fontId="1" fillId="0" borderId="1" xfId="15" applyNumberFormat="1" applyFont="1" applyBorder="1" applyAlignment="1">
      <alignment/>
    </xf>
    <xf numFmtId="43" fontId="1" fillId="0" borderId="0" xfId="15" applyNumberFormat="1" applyFont="1" applyAlignment="1">
      <alignment/>
    </xf>
    <xf numFmtId="175" fontId="1" fillId="0" borderId="0" xfId="15" applyNumberFormat="1" applyFont="1" applyAlignment="1">
      <alignment/>
    </xf>
    <xf numFmtId="176" fontId="1" fillId="0" borderId="2" xfId="15" applyNumberFormat="1" applyFont="1" applyBorder="1" applyAlignment="1">
      <alignment/>
    </xf>
    <xf numFmtId="176" fontId="1" fillId="0" borderId="3" xfId="15" applyNumberFormat="1" applyFont="1" applyBorder="1" applyAlignment="1">
      <alignment/>
    </xf>
    <xf numFmtId="0" fontId="1" fillId="0" borderId="0" xfId="0" applyFont="1" applyAlignment="1">
      <alignment horizontal="center"/>
    </xf>
    <xf numFmtId="14" fontId="1" fillId="0" borderId="0" xfId="0" applyNumberFormat="1" applyFon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vertical="justify"/>
    </xf>
    <xf numFmtId="0" fontId="1" fillId="0" borderId="0" xfId="0" applyFont="1" applyAlignment="1">
      <alignment vertical="top"/>
    </xf>
    <xf numFmtId="0" fontId="3" fillId="0" borderId="0" xfId="0" applyFont="1" applyAlignment="1">
      <alignment/>
    </xf>
    <xf numFmtId="176" fontId="1" fillId="0" borderId="0" xfId="15" applyNumberFormat="1" applyFont="1" applyAlignment="1">
      <alignment horizontal="center"/>
    </xf>
    <xf numFmtId="14" fontId="1" fillId="0" borderId="0" xfId="15" applyNumberFormat="1" applyFont="1" applyAlignment="1">
      <alignment horizontal="center"/>
    </xf>
    <xf numFmtId="43" fontId="1" fillId="0" borderId="0" xfId="15" applyFont="1" applyAlignment="1">
      <alignment/>
    </xf>
    <xf numFmtId="0" fontId="4" fillId="0" borderId="0" xfId="0" applyFont="1" applyAlignment="1">
      <alignment/>
    </xf>
    <xf numFmtId="0" fontId="1" fillId="0" borderId="0" xfId="0" applyFont="1" applyAlignment="1">
      <alignment/>
    </xf>
    <xf numFmtId="0" fontId="1" fillId="0" borderId="0" xfId="0" applyFont="1" applyAlignment="1">
      <alignment horizontal="left"/>
    </xf>
    <xf numFmtId="176" fontId="1" fillId="0" borderId="0" xfId="0" applyNumberFormat="1" applyFont="1" applyAlignment="1">
      <alignmen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1"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horizontal="center"/>
    </xf>
    <xf numFmtId="176" fontId="1" fillId="0" borderId="9" xfId="15" applyNumberFormat="1" applyFont="1" applyBorder="1" applyAlignment="1">
      <alignment/>
    </xf>
    <xf numFmtId="43" fontId="1" fillId="0" borderId="1" xfId="15" applyFont="1" applyBorder="1" applyAlignment="1">
      <alignment/>
    </xf>
    <xf numFmtId="0" fontId="1" fillId="0" borderId="10" xfId="0" applyFont="1" applyBorder="1" applyAlignment="1">
      <alignment/>
    </xf>
    <xf numFmtId="0" fontId="1" fillId="0" borderId="3" xfId="0" applyFont="1" applyBorder="1" applyAlignment="1">
      <alignment/>
    </xf>
    <xf numFmtId="0" fontId="1" fillId="0" borderId="2" xfId="0" applyFont="1" applyBorder="1" applyAlignment="1">
      <alignment/>
    </xf>
    <xf numFmtId="43" fontId="1" fillId="0" borderId="2" xfId="15" applyFont="1" applyBorder="1" applyAlignment="1">
      <alignment/>
    </xf>
    <xf numFmtId="176" fontId="1" fillId="0" borderId="11" xfId="15" applyNumberFormat="1" applyFont="1" applyBorder="1" applyAlignment="1">
      <alignment/>
    </xf>
    <xf numFmtId="176" fontId="1" fillId="0" borderId="10" xfId="15" applyNumberFormat="1" applyFont="1" applyBorder="1" applyAlignment="1">
      <alignment/>
    </xf>
    <xf numFmtId="0" fontId="1" fillId="0" borderId="10" xfId="0" applyFont="1" applyBorder="1" applyAlignment="1">
      <alignment horizontal="center"/>
    </xf>
    <xf numFmtId="43" fontId="1" fillId="0" borderId="3" xfId="15" applyFont="1" applyBorder="1" applyAlignment="1">
      <alignment/>
    </xf>
    <xf numFmtId="176" fontId="1" fillId="0" borderId="12" xfId="0" applyNumberFormat="1" applyFont="1" applyBorder="1" applyAlignment="1">
      <alignment/>
    </xf>
    <xf numFmtId="0" fontId="1" fillId="0" borderId="11" xfId="0" applyFont="1" applyBorder="1" applyAlignment="1">
      <alignment horizontal="center"/>
    </xf>
    <xf numFmtId="0" fontId="7" fillId="0" borderId="0" xfId="0" applyFont="1" applyAlignment="1">
      <alignment/>
    </xf>
    <xf numFmtId="176" fontId="7" fillId="0" borderId="0" xfId="15" applyNumberFormat="1" applyFont="1" applyBorder="1" applyAlignment="1">
      <alignment/>
    </xf>
    <xf numFmtId="176" fontId="9" fillId="0" borderId="0" xfId="15" applyNumberFormat="1" applyFont="1" applyFill="1" applyAlignment="1">
      <alignment/>
    </xf>
    <xf numFmtId="176" fontId="1" fillId="0" borderId="0" xfId="15" applyNumberFormat="1" applyFont="1" applyBorder="1" applyAlignment="1">
      <alignment/>
    </xf>
    <xf numFmtId="174" fontId="1" fillId="0" borderId="7" xfId="15" applyNumberFormat="1" applyFont="1" applyBorder="1" applyAlignment="1">
      <alignment/>
    </xf>
    <xf numFmtId="174" fontId="1" fillId="0" borderId="13" xfId="15" applyNumberFormat="1" applyFont="1" applyBorder="1" applyAlignment="1">
      <alignment/>
    </xf>
    <xf numFmtId="176" fontId="6" fillId="0" borderId="3" xfId="15" applyNumberFormat="1" applyFont="1" applyBorder="1" applyAlignment="1">
      <alignment horizontal="center"/>
    </xf>
    <xf numFmtId="174" fontId="1" fillId="0" borderId="0" xfId="15" applyNumberFormat="1" applyFont="1" applyBorder="1" applyAlignment="1">
      <alignment/>
    </xf>
    <xf numFmtId="174" fontId="1" fillId="0" borderId="4" xfId="15" applyNumberFormat="1" applyFont="1" applyBorder="1" applyAlignment="1">
      <alignment/>
    </xf>
    <xf numFmtId="176" fontId="7" fillId="0" borderId="14" xfId="15" applyNumberFormat="1" applyFont="1" applyBorder="1" applyAlignment="1">
      <alignment/>
    </xf>
    <xf numFmtId="176" fontId="7" fillId="0" borderId="15" xfId="15" applyNumberFormat="1" applyFont="1" applyBorder="1" applyAlignment="1">
      <alignment/>
    </xf>
    <xf numFmtId="176" fontId="8" fillId="0" borderId="15" xfId="15" applyNumberFormat="1" applyFont="1" applyBorder="1" applyAlignment="1">
      <alignment/>
    </xf>
    <xf numFmtId="176" fontId="7" fillId="0" borderId="16" xfId="15" applyNumberFormat="1" applyFont="1" applyBorder="1" applyAlignment="1">
      <alignment/>
    </xf>
    <xf numFmtId="176" fontId="7" fillId="0" borderId="17" xfId="15" applyNumberFormat="1" applyFont="1" applyBorder="1" applyAlignment="1">
      <alignment/>
    </xf>
    <xf numFmtId="176" fontId="7" fillId="0" borderId="18" xfId="15" applyNumberFormat="1" applyFont="1" applyBorder="1" applyAlignment="1">
      <alignment/>
    </xf>
    <xf numFmtId="176" fontId="7" fillId="0" borderId="19" xfId="15" applyNumberFormat="1" applyFont="1" applyBorder="1" applyAlignment="1">
      <alignment/>
    </xf>
    <xf numFmtId="176" fontId="7" fillId="0" borderId="20" xfId="15" applyNumberFormat="1" applyFont="1" applyBorder="1" applyAlignment="1">
      <alignment/>
    </xf>
    <xf numFmtId="176" fontId="7" fillId="0" borderId="21" xfId="15" applyNumberFormat="1" applyFont="1" applyBorder="1" applyAlignment="1">
      <alignment/>
    </xf>
    <xf numFmtId="0" fontId="6" fillId="0" borderId="0" xfId="0" applyFont="1" applyAlignment="1">
      <alignment/>
    </xf>
    <xf numFmtId="0" fontId="1" fillId="0" borderId="0" xfId="0" applyFont="1" applyBorder="1" applyAlignment="1">
      <alignment/>
    </xf>
    <xf numFmtId="0" fontId="6" fillId="0" borderId="0" xfId="0" applyFont="1" applyAlignment="1">
      <alignment horizontal="center"/>
    </xf>
    <xf numFmtId="43" fontId="1" fillId="0" borderId="0" xfId="15" applyFont="1" applyBorder="1" applyAlignment="1">
      <alignment/>
    </xf>
    <xf numFmtId="174" fontId="1" fillId="0" borderId="8" xfId="15" applyNumberFormat="1" applyFont="1" applyBorder="1" applyAlignment="1">
      <alignment/>
    </xf>
    <xf numFmtId="0" fontId="10" fillId="0" borderId="0" xfId="0" applyFont="1" applyAlignment="1">
      <alignment/>
    </xf>
    <xf numFmtId="43" fontId="1" fillId="0" borderId="8" xfId="15" applyFont="1" applyBorder="1" applyAlignment="1">
      <alignment/>
    </xf>
    <xf numFmtId="174" fontId="1" fillId="0" borderId="0" xfId="0" applyNumberFormat="1" applyFont="1" applyAlignment="1">
      <alignment/>
    </xf>
    <xf numFmtId="174" fontId="1" fillId="0" borderId="8" xfId="0" applyNumberFormat="1" applyFont="1" applyBorder="1" applyAlignment="1">
      <alignment/>
    </xf>
    <xf numFmtId="0" fontId="1" fillId="0" borderId="0" xfId="0" applyFont="1" applyAlignment="1">
      <alignment horizontal="right"/>
    </xf>
    <xf numFmtId="0" fontId="1" fillId="0" borderId="5" xfId="0" applyFont="1" applyBorder="1" applyAlignment="1">
      <alignment horizontal="center"/>
    </xf>
    <xf numFmtId="0" fontId="1" fillId="0" borderId="22"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11" xfId="0" applyFont="1" applyBorder="1" applyAlignment="1">
      <alignment horizontal="center"/>
    </xf>
    <xf numFmtId="0" fontId="1" fillId="0" borderId="23" xfId="0" applyFont="1" applyBorder="1" applyAlignment="1">
      <alignment/>
    </xf>
    <xf numFmtId="0" fontId="1" fillId="0" borderId="11" xfId="0" applyFont="1" applyBorder="1" applyAlignment="1">
      <alignment/>
    </xf>
    <xf numFmtId="174" fontId="1" fillId="0" borderId="23" xfId="15" applyNumberFormat="1" applyFont="1" applyBorder="1" applyAlignment="1">
      <alignment/>
    </xf>
    <xf numFmtId="174" fontId="1" fillId="0" borderId="11" xfId="15" applyNumberFormat="1" applyFont="1" applyBorder="1" applyAlignment="1">
      <alignment/>
    </xf>
    <xf numFmtId="43" fontId="1" fillId="0" borderId="7" xfId="15" applyFont="1" applyBorder="1" applyAlignment="1">
      <alignment/>
    </xf>
    <xf numFmtId="174" fontId="1" fillId="0" borderId="7" xfId="0" applyNumberFormat="1" applyFont="1" applyBorder="1" applyAlignment="1">
      <alignment/>
    </xf>
    <xf numFmtId="174" fontId="1" fillId="0" borderId="13" xfId="0" applyNumberFormat="1" applyFont="1" applyBorder="1" applyAlignment="1">
      <alignment/>
    </xf>
    <xf numFmtId="174" fontId="1" fillId="0" borderId="11" xfId="0" applyNumberFormat="1" applyFont="1" applyBorder="1" applyAlignment="1">
      <alignment/>
    </xf>
    <xf numFmtId="174" fontId="1" fillId="0" borderId="24" xfId="0" applyNumberFormat="1" applyFont="1" applyBorder="1" applyAlignment="1">
      <alignment/>
    </xf>
    <xf numFmtId="174" fontId="1" fillId="0" borderId="0" xfId="0" applyNumberFormat="1" applyFont="1" applyBorder="1" applyAlignment="1">
      <alignment/>
    </xf>
    <xf numFmtId="174" fontId="1" fillId="0" borderId="0" xfId="15" applyNumberFormat="1" applyFont="1" applyBorder="1" applyAlignment="1">
      <alignment/>
    </xf>
    <xf numFmtId="0" fontId="5" fillId="0" borderId="0" xfId="0" applyFont="1" applyAlignment="1">
      <alignment/>
    </xf>
    <xf numFmtId="176" fontId="1" fillId="0" borderId="5" xfId="15" applyNumberFormat="1" applyFont="1" applyBorder="1" applyAlignment="1">
      <alignment/>
    </xf>
    <xf numFmtId="43" fontId="7" fillId="0" borderId="8" xfId="15" applyFont="1" applyBorder="1" applyAlignment="1">
      <alignment/>
    </xf>
    <xf numFmtId="43" fontId="1" fillId="0" borderId="0" xfId="0" applyNumberFormat="1" applyFont="1" applyBorder="1" applyAlignment="1">
      <alignment/>
    </xf>
    <xf numFmtId="43" fontId="1" fillId="0" borderId="12" xfId="15" applyFont="1" applyBorder="1" applyAlignment="1">
      <alignment/>
    </xf>
    <xf numFmtId="10" fontId="1" fillId="0" borderId="0" xfId="22" applyNumberFormat="1" applyFont="1" applyBorder="1" applyAlignment="1">
      <alignment/>
    </xf>
    <xf numFmtId="174" fontId="1" fillId="0" borderId="14" xfId="15" applyNumberFormat="1" applyFont="1" applyBorder="1" applyAlignment="1">
      <alignment/>
    </xf>
    <xf numFmtId="174" fontId="3" fillId="0" borderId="16" xfId="15" applyNumberFormat="1" applyFont="1" applyBorder="1" applyAlignment="1">
      <alignment horizontal="centerContinuous"/>
    </xf>
    <xf numFmtId="174" fontId="1" fillId="0" borderId="17" xfId="15" applyNumberFormat="1" applyFont="1" applyBorder="1" applyAlignment="1">
      <alignment/>
    </xf>
    <xf numFmtId="0" fontId="0" fillId="0" borderId="0" xfId="0" applyBorder="1" applyAlignment="1">
      <alignment/>
    </xf>
    <xf numFmtId="174" fontId="1" fillId="0" borderId="25" xfId="15" applyNumberFormat="1" applyFont="1" applyBorder="1" applyAlignment="1">
      <alignment/>
    </xf>
    <xf numFmtId="10" fontId="1" fillId="0" borderId="26" xfId="22" applyNumberFormat="1" applyFont="1" applyBorder="1" applyAlignment="1">
      <alignment horizontal="center"/>
    </xf>
    <xf numFmtId="174" fontId="1" fillId="0" borderId="26" xfId="15" applyNumberFormat="1" applyFont="1" applyBorder="1" applyAlignment="1">
      <alignment horizontal="center"/>
    </xf>
    <xf numFmtId="0" fontId="11" fillId="0" borderId="19" xfId="0" applyFont="1" applyBorder="1" applyAlignment="1">
      <alignment horizontal="center"/>
    </xf>
    <xf numFmtId="174" fontId="11" fillId="0" borderId="20" xfId="15" applyNumberFormat="1" applyFont="1" applyBorder="1" applyAlignment="1">
      <alignment horizontal="center"/>
    </xf>
    <xf numFmtId="174" fontId="11" fillId="0" borderId="21" xfId="15" applyNumberFormat="1" applyFont="1" applyBorder="1" applyAlignment="1">
      <alignment horizontal="center"/>
    </xf>
    <xf numFmtId="174" fontId="1" fillId="0" borderId="5" xfId="15" applyNumberFormat="1" applyFont="1" applyBorder="1" applyAlignment="1">
      <alignment/>
    </xf>
    <xf numFmtId="174" fontId="1" fillId="0" borderId="22" xfId="15" applyNumberFormat="1" applyFont="1" applyBorder="1" applyAlignment="1">
      <alignment/>
    </xf>
    <xf numFmtId="174" fontId="1" fillId="0" borderId="6" xfId="15" applyNumberFormat="1" applyFont="1" applyBorder="1" applyAlignment="1">
      <alignment/>
    </xf>
    <xf numFmtId="174" fontId="1" fillId="0" borderId="1" xfId="15" applyNumberFormat="1" applyFont="1" applyBorder="1" applyAlignment="1">
      <alignment/>
    </xf>
    <xf numFmtId="174" fontId="1" fillId="0" borderId="27" xfId="15" applyNumberFormat="1" applyFont="1" applyBorder="1" applyAlignment="1">
      <alignment/>
    </xf>
    <xf numFmtId="179" fontId="1" fillId="0" borderId="0" xfId="15" applyNumberFormat="1" applyFont="1" applyAlignment="1">
      <alignment/>
    </xf>
    <xf numFmtId="179" fontId="1" fillId="0" borderId="0" xfId="15" applyNumberFormat="1" applyFont="1" applyAlignment="1">
      <alignment horizontal="center"/>
    </xf>
    <xf numFmtId="176" fontId="0" fillId="0" borderId="0" xfId="15" applyNumberFormat="1" applyAlignment="1">
      <alignment/>
    </xf>
    <xf numFmtId="10" fontId="1" fillId="0" borderId="23" xfId="22" applyNumberFormat="1" applyFont="1" applyBorder="1" applyAlignment="1">
      <alignment/>
    </xf>
    <xf numFmtId="174" fontId="1" fillId="0" borderId="3" xfId="15" applyNumberFormat="1" applyFont="1" applyBorder="1" applyAlignment="1">
      <alignment/>
    </xf>
    <xf numFmtId="174" fontId="1" fillId="0" borderId="2" xfId="15" applyNumberFormat="1" applyFont="1" applyBorder="1" applyAlignment="1">
      <alignment/>
    </xf>
    <xf numFmtId="174" fontId="1" fillId="0" borderId="28" xfId="15" applyNumberFormat="1" applyFont="1" applyBorder="1" applyAlignment="1">
      <alignment horizontal="centerContinuous" vertical="center"/>
    </xf>
    <xf numFmtId="0" fontId="13" fillId="0" borderId="0" xfId="0" applyFont="1" applyAlignment="1">
      <alignment/>
    </xf>
    <xf numFmtId="38" fontId="13" fillId="0" borderId="0" xfId="0" applyNumberFormat="1" applyFont="1" applyAlignment="1">
      <alignment/>
    </xf>
    <xf numFmtId="0" fontId="14" fillId="0" borderId="0" xfId="0" applyFont="1" applyAlignment="1">
      <alignment/>
    </xf>
    <xf numFmtId="176" fontId="13" fillId="0" borderId="0" xfId="15" applyNumberFormat="1" applyFont="1" applyAlignment="1">
      <alignment/>
    </xf>
    <xf numFmtId="0" fontId="13" fillId="0" borderId="0" xfId="0" applyFont="1" applyAlignment="1" quotePrefix="1">
      <alignment/>
    </xf>
    <xf numFmtId="38" fontId="1" fillId="0" borderId="0" xfId="0" applyNumberFormat="1" applyFont="1" applyAlignment="1">
      <alignment/>
    </xf>
    <xf numFmtId="0" fontId="6" fillId="0" borderId="29" xfId="0" applyFont="1" applyBorder="1" applyAlignment="1">
      <alignment/>
    </xf>
    <xf numFmtId="0" fontId="6" fillId="0" borderId="0" xfId="0" applyFont="1" applyBorder="1" applyAlignment="1">
      <alignment/>
    </xf>
    <xf numFmtId="0" fontId="1" fillId="0" borderId="30" xfId="0" applyFont="1" applyBorder="1" applyAlignment="1">
      <alignment/>
    </xf>
    <xf numFmtId="0" fontId="6" fillId="0" borderId="31" xfId="0" applyFont="1" applyBorder="1" applyAlignment="1">
      <alignment/>
    </xf>
    <xf numFmtId="38" fontId="6" fillId="0" borderId="31" xfId="0" applyNumberFormat="1" applyFont="1" applyBorder="1" applyAlignment="1">
      <alignment horizontal="center"/>
    </xf>
    <xf numFmtId="38" fontId="6" fillId="0" borderId="32" xfId="0" applyNumberFormat="1" applyFont="1" applyBorder="1" applyAlignment="1">
      <alignment horizontal="center"/>
    </xf>
    <xf numFmtId="0" fontId="1" fillId="0" borderId="29" xfId="0" applyFont="1" applyBorder="1" applyAlignment="1">
      <alignment/>
    </xf>
    <xf numFmtId="38" fontId="6" fillId="0" borderId="0" xfId="0" applyNumberFormat="1" applyFont="1" applyBorder="1" applyAlignment="1">
      <alignment horizontal="center"/>
    </xf>
    <xf numFmtId="38" fontId="6" fillId="0" borderId="33" xfId="0" applyNumberFormat="1" applyFont="1" applyBorder="1" applyAlignment="1">
      <alignment horizontal="center"/>
    </xf>
    <xf numFmtId="38" fontId="1" fillId="0" borderId="0" xfId="0" applyNumberFormat="1" applyFont="1" applyBorder="1" applyAlignment="1">
      <alignment/>
    </xf>
    <xf numFmtId="38" fontId="1" fillId="0" borderId="33" xfId="0" applyNumberFormat="1" applyFont="1" applyBorder="1" applyAlignment="1">
      <alignment/>
    </xf>
    <xf numFmtId="40" fontId="6" fillId="0" borderId="0" xfId="0" applyNumberFormat="1" applyFont="1" applyBorder="1" applyAlignment="1">
      <alignment horizontal="center"/>
    </xf>
    <xf numFmtId="38" fontId="6" fillId="0" borderId="0" xfId="0" applyNumberFormat="1" applyFont="1" applyBorder="1" applyAlignment="1">
      <alignment/>
    </xf>
    <xf numFmtId="0" fontId="1" fillId="0" borderId="34" xfId="0" applyFont="1" applyBorder="1" applyAlignment="1">
      <alignment/>
    </xf>
    <xf numFmtId="0" fontId="1" fillId="0" borderId="16" xfId="0"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38" fontId="1" fillId="0" borderId="18" xfId="0" applyNumberFormat="1" applyFont="1" applyBorder="1" applyAlignment="1">
      <alignment/>
    </xf>
    <xf numFmtId="38" fontId="6" fillId="0" borderId="12" xfId="0" applyNumberFormat="1" applyFont="1" applyBorder="1" applyAlignment="1">
      <alignment/>
    </xf>
    <xf numFmtId="0" fontId="1" fillId="0" borderId="35" xfId="0" applyFont="1" applyBorder="1" applyAlignment="1">
      <alignment/>
    </xf>
    <xf numFmtId="0" fontId="1" fillId="0" borderId="20" xfId="0" applyFont="1" applyBorder="1" applyAlignment="1">
      <alignment/>
    </xf>
    <xf numFmtId="38" fontId="6" fillId="0" borderId="20" xfId="0" applyNumberFormat="1" applyFont="1" applyBorder="1" applyAlignment="1">
      <alignment/>
    </xf>
    <xf numFmtId="38" fontId="1" fillId="0" borderId="21" xfId="0" applyNumberFormat="1" applyFont="1" applyBorder="1" applyAlignment="1">
      <alignment/>
    </xf>
    <xf numFmtId="38" fontId="1" fillId="0" borderId="36" xfId="0" applyNumberFormat="1" applyFont="1" applyBorder="1" applyAlignment="1">
      <alignment/>
    </xf>
    <xf numFmtId="38" fontId="1" fillId="0" borderId="0" xfId="0" applyNumberFormat="1" applyFont="1" applyBorder="1" applyAlignment="1" quotePrefix="1">
      <alignment/>
    </xf>
    <xf numFmtId="38" fontId="6" fillId="0" borderId="33" xfId="0" applyNumberFormat="1" applyFont="1" applyBorder="1" applyAlignment="1">
      <alignment/>
    </xf>
    <xf numFmtId="38" fontId="1" fillId="0" borderId="37" xfId="0" applyNumberFormat="1" applyFont="1" applyBorder="1" applyAlignment="1">
      <alignment/>
    </xf>
    <xf numFmtId="38" fontId="1" fillId="0" borderId="33" xfId="0" applyNumberFormat="1" applyFont="1" applyBorder="1" applyAlignment="1">
      <alignment horizontal="right"/>
    </xf>
    <xf numFmtId="38" fontId="1" fillId="0" borderId="38" xfId="0" applyNumberFormat="1" applyFont="1" applyBorder="1" applyAlignment="1">
      <alignment/>
    </xf>
    <xf numFmtId="38" fontId="1" fillId="0" borderId="39" xfId="0" applyNumberFormat="1" applyFont="1" applyBorder="1" applyAlignment="1">
      <alignment/>
    </xf>
    <xf numFmtId="0" fontId="1" fillId="0" borderId="0" xfId="0" applyFont="1" applyAlignment="1" quotePrefix="1">
      <alignment horizontal="left"/>
    </xf>
    <xf numFmtId="38" fontId="1" fillId="0" borderId="40" xfId="0" applyNumberFormat="1" applyFont="1" applyBorder="1" applyAlignment="1">
      <alignment/>
    </xf>
    <xf numFmtId="38" fontId="6" fillId="0" borderId="41" xfId="0" applyNumberFormat="1" applyFont="1" applyBorder="1" applyAlignment="1">
      <alignment/>
    </xf>
    <xf numFmtId="0" fontId="6" fillId="0" borderId="42" xfId="0" applyFont="1" applyBorder="1" applyAlignment="1">
      <alignment/>
    </xf>
    <xf numFmtId="0" fontId="6" fillId="0" borderId="43" xfId="0" applyFont="1" applyBorder="1" applyAlignment="1">
      <alignment/>
    </xf>
    <xf numFmtId="38" fontId="1" fillId="0" borderId="43" xfId="0" applyNumberFormat="1" applyFont="1" applyBorder="1" applyAlignment="1">
      <alignment/>
    </xf>
    <xf numFmtId="38" fontId="6" fillId="2" borderId="44" xfId="0" applyNumberFormat="1" applyFont="1" applyFill="1" applyBorder="1" applyAlignment="1">
      <alignment/>
    </xf>
    <xf numFmtId="38" fontId="6" fillId="0" borderId="45" xfId="0" applyNumberFormat="1" applyFont="1" applyBorder="1" applyAlignment="1">
      <alignment/>
    </xf>
    <xf numFmtId="43" fontId="7" fillId="0" borderId="0" xfId="15" applyFont="1" applyBorder="1" applyAlignment="1">
      <alignment/>
    </xf>
    <xf numFmtId="176" fontId="1" fillId="0" borderId="1" xfId="0" applyNumberFormat="1" applyFont="1" applyBorder="1" applyAlignment="1">
      <alignment/>
    </xf>
    <xf numFmtId="43" fontId="2" fillId="0" borderId="0" xfId="15" applyFont="1" applyAlignment="1">
      <alignment/>
    </xf>
    <xf numFmtId="176" fontId="2" fillId="0" borderId="0" xfId="15" applyNumberFormat="1" applyFont="1" applyBorder="1" applyAlignment="1">
      <alignment/>
    </xf>
    <xf numFmtId="43" fontId="1" fillId="0" borderId="0" xfId="15" applyNumberFormat="1" applyFont="1" applyAlignment="1">
      <alignment horizontal="center"/>
    </xf>
    <xf numFmtId="176" fontId="1" fillId="0" borderId="9" xfId="15" applyNumberFormat="1" applyFont="1" applyFill="1" applyBorder="1" applyAlignment="1">
      <alignment/>
    </xf>
    <xf numFmtId="176" fontId="1" fillId="0" borderId="9" xfId="0" applyNumberFormat="1" applyFont="1" applyFill="1" applyBorder="1" applyAlignment="1">
      <alignment/>
    </xf>
    <xf numFmtId="0" fontId="1" fillId="0" borderId="0" xfId="0" applyFont="1" applyBorder="1" applyAlignment="1">
      <alignment horizontal="center"/>
    </xf>
    <xf numFmtId="43" fontId="1" fillId="0" borderId="0" xfId="0" applyNumberFormat="1" applyFont="1" applyAlignment="1">
      <alignment/>
    </xf>
    <xf numFmtId="9" fontId="1" fillId="0" borderId="0" xfId="0" applyNumberFormat="1" applyFont="1" applyAlignment="1">
      <alignment/>
    </xf>
    <xf numFmtId="43" fontId="1" fillId="0" borderId="9" xfId="0" applyNumberFormat="1" applyFont="1" applyBorder="1" applyAlignment="1">
      <alignment/>
    </xf>
    <xf numFmtId="43" fontId="1" fillId="0" borderId="9" xfId="15" applyFont="1" applyBorder="1" applyAlignment="1">
      <alignment/>
    </xf>
    <xf numFmtId="43" fontId="1" fillId="0" borderId="12" xfId="0" applyNumberFormat="1" applyFont="1" applyBorder="1" applyAlignment="1">
      <alignment/>
    </xf>
    <xf numFmtId="0" fontId="8" fillId="0" borderId="0" xfId="0" applyFont="1" applyAlignment="1">
      <alignment horizontal="center"/>
    </xf>
    <xf numFmtId="43" fontId="1" fillId="0" borderId="0" xfId="15" applyFont="1" applyAlignment="1">
      <alignment horizontal="center"/>
    </xf>
    <xf numFmtId="176" fontId="1" fillId="0" borderId="8" xfId="0" applyNumberFormat="1" applyFont="1" applyBorder="1" applyAlignment="1">
      <alignment/>
    </xf>
    <xf numFmtId="0" fontId="2" fillId="0" borderId="0" xfId="0" applyFont="1" applyAlignment="1">
      <alignment/>
    </xf>
    <xf numFmtId="176" fontId="1" fillId="0" borderId="0" xfId="0" applyNumberFormat="1" applyFont="1" applyBorder="1" applyAlignment="1">
      <alignment/>
    </xf>
    <xf numFmtId="43" fontId="2" fillId="0" borderId="0" xfId="15" applyFont="1" applyBorder="1" applyAlignment="1">
      <alignment/>
    </xf>
    <xf numFmtId="43" fontId="7" fillId="0" borderId="16" xfId="15" applyFont="1" applyBorder="1" applyAlignment="1">
      <alignment/>
    </xf>
    <xf numFmtId="178" fontId="1" fillId="0" borderId="0" xfId="15" applyNumberFormat="1" applyFont="1" applyAlignment="1">
      <alignment/>
    </xf>
    <xf numFmtId="14" fontId="1" fillId="0" borderId="0" xfId="0" applyNumberFormat="1" applyFont="1" applyAlignment="1">
      <alignment horizontal="left"/>
    </xf>
    <xf numFmtId="43" fontId="1" fillId="0" borderId="5" xfId="0" applyNumberFormat="1" applyFont="1" applyBorder="1" applyAlignment="1">
      <alignment/>
    </xf>
    <xf numFmtId="43" fontId="1" fillId="0" borderId="1" xfId="0" applyNumberFormat="1" applyFont="1" applyBorder="1" applyAlignment="1">
      <alignment/>
    </xf>
    <xf numFmtId="43" fontId="1" fillId="0" borderId="5" xfId="15" applyFont="1" applyBorder="1" applyAlignment="1">
      <alignment/>
    </xf>
    <xf numFmtId="0" fontId="5" fillId="0" borderId="5" xfId="0" applyFont="1" applyBorder="1" applyAlignment="1">
      <alignment/>
    </xf>
    <xf numFmtId="43" fontId="1" fillId="0" borderId="8" xfId="0" applyNumberFormat="1" applyFont="1" applyBorder="1" applyAlignment="1">
      <alignment/>
    </xf>
    <xf numFmtId="0" fontId="5" fillId="0" borderId="0" xfId="0" applyFont="1" applyBorder="1" applyAlignment="1">
      <alignment/>
    </xf>
    <xf numFmtId="10" fontId="7" fillId="0" borderId="0" xfId="22" applyNumberFormat="1" applyFont="1" applyBorder="1" applyAlignment="1">
      <alignment horizontal="center"/>
    </xf>
    <xf numFmtId="0" fontId="10" fillId="0" borderId="0" xfId="0" applyFont="1" applyAlignment="1">
      <alignment horizontal="center"/>
    </xf>
    <xf numFmtId="174" fontId="2" fillId="0" borderId="0" xfId="15" applyNumberFormat="1" applyFont="1" applyBorder="1" applyAlignment="1">
      <alignment/>
    </xf>
    <xf numFmtId="174" fontId="2" fillId="0" borderId="0" xfId="15" applyNumberFormat="1" applyFont="1" applyBorder="1" applyAlignment="1">
      <alignment/>
    </xf>
    <xf numFmtId="0" fontId="1" fillId="0" borderId="4" xfId="0" applyFont="1" applyBorder="1" applyAlignment="1">
      <alignment horizontal="center"/>
    </xf>
    <xf numFmtId="177" fontId="1" fillId="0" borderId="0" xfId="0" applyNumberFormat="1" applyFont="1" applyAlignment="1">
      <alignment/>
    </xf>
    <xf numFmtId="185" fontId="6" fillId="0" borderId="0" xfId="0" applyNumberFormat="1" applyFont="1" applyAlignment="1">
      <alignment horizontal="center"/>
    </xf>
    <xf numFmtId="43" fontId="1" fillId="0" borderId="10" xfId="15" applyFont="1" applyBorder="1" applyAlignment="1">
      <alignment/>
    </xf>
    <xf numFmtId="0" fontId="15" fillId="0" borderId="0" xfId="0" applyFont="1" applyAlignment="1">
      <alignment horizontal="center"/>
    </xf>
    <xf numFmtId="0" fontId="6" fillId="0" borderId="10" xfId="0" applyFont="1" applyBorder="1" applyAlignment="1">
      <alignment horizontal="center"/>
    </xf>
    <xf numFmtId="176" fontId="6" fillId="0" borderId="2" xfId="15" applyNumberFormat="1" applyFont="1" applyBorder="1" applyAlignment="1">
      <alignment horizontal="center"/>
    </xf>
    <xf numFmtId="0" fontId="6" fillId="0" borderId="2" xfId="0" applyFont="1" applyBorder="1" applyAlignment="1">
      <alignment horizontal="center"/>
    </xf>
    <xf numFmtId="176" fontId="6" fillId="0" borderId="10" xfId="15" applyNumberFormat="1" applyFont="1" applyBorder="1" applyAlignment="1">
      <alignment horizontal="center"/>
    </xf>
    <xf numFmtId="0" fontId="6" fillId="0" borderId="0" xfId="0" applyFont="1" applyAlignment="1">
      <alignment/>
    </xf>
    <xf numFmtId="43" fontId="2" fillId="0" borderId="0" xfId="0" applyNumberFormat="1" applyFont="1" applyAlignment="1">
      <alignment/>
    </xf>
    <xf numFmtId="176" fontId="2" fillId="0" borderId="0" xfId="15" applyNumberFormat="1" applyFont="1" applyAlignment="1">
      <alignment/>
    </xf>
    <xf numFmtId="0" fontId="1" fillId="0" borderId="0" xfId="0" applyFont="1" applyAlignment="1">
      <alignment horizontal="center" vertical="justify"/>
    </xf>
    <xf numFmtId="0" fontId="1" fillId="0" borderId="9" xfId="0" applyFont="1" applyBorder="1" applyAlignment="1">
      <alignment/>
    </xf>
    <xf numFmtId="0" fontId="1" fillId="0" borderId="9" xfId="0" applyFont="1" applyBorder="1" applyAlignment="1">
      <alignment horizontal="center" vertical="justify"/>
    </xf>
    <xf numFmtId="43" fontId="6" fillId="0" borderId="9" xfId="0" applyNumberFormat="1" applyFont="1" applyBorder="1" applyAlignment="1">
      <alignment/>
    </xf>
    <xf numFmtId="43" fontId="6" fillId="0" borderId="8" xfId="15" applyFont="1" applyBorder="1" applyAlignment="1">
      <alignment/>
    </xf>
    <xf numFmtId="0" fontId="1" fillId="0" borderId="23" xfId="0" applyFont="1" applyBorder="1" applyAlignment="1">
      <alignment horizontal="center"/>
    </xf>
    <xf numFmtId="43" fontId="1" fillId="0" borderId="23" xfId="15" applyFont="1" applyBorder="1" applyAlignment="1">
      <alignment/>
    </xf>
    <xf numFmtId="176" fontId="1" fillId="0" borderId="23" xfId="15" applyNumberFormat="1" applyFont="1" applyBorder="1" applyAlignment="1">
      <alignment/>
    </xf>
    <xf numFmtId="0" fontId="1" fillId="0" borderId="2" xfId="0" applyFont="1" applyBorder="1" applyAlignment="1">
      <alignment horizontal="center"/>
    </xf>
    <xf numFmtId="174" fontId="2" fillId="0" borderId="0" xfId="0" applyNumberFormat="1" applyFont="1" applyAlignment="1">
      <alignment/>
    </xf>
    <xf numFmtId="0" fontId="16" fillId="0" borderId="0" xfId="0" applyFont="1" applyAlignment="1">
      <alignment/>
    </xf>
    <xf numFmtId="0" fontId="17" fillId="0" borderId="0" xfId="0" applyFont="1" applyAlignment="1">
      <alignment/>
    </xf>
    <xf numFmtId="176" fontId="6" fillId="0" borderId="12" xfId="15" applyNumberFormat="1" applyFont="1" applyBorder="1" applyAlignment="1">
      <alignment/>
    </xf>
    <xf numFmtId="176" fontId="6" fillId="0" borderId="0" xfId="15" applyNumberFormat="1" applyFont="1" applyAlignment="1">
      <alignment/>
    </xf>
    <xf numFmtId="176" fontId="1" fillId="0" borderId="46" xfId="15" applyNumberFormat="1" applyFont="1" applyBorder="1" applyAlignment="1">
      <alignment/>
    </xf>
    <xf numFmtId="176" fontId="3" fillId="0" borderId="0" xfId="0" applyNumberFormat="1" applyFont="1" applyAlignment="1">
      <alignment/>
    </xf>
    <xf numFmtId="0" fontId="18" fillId="0" borderId="0" xfId="0" applyFont="1" applyAlignment="1">
      <alignment/>
    </xf>
    <xf numFmtId="0" fontId="12" fillId="0" borderId="0" xfId="0" applyFont="1" applyAlignment="1">
      <alignment/>
    </xf>
    <xf numFmtId="43" fontId="13" fillId="0" borderId="0" xfId="15" applyFont="1" applyAlignment="1">
      <alignment/>
    </xf>
    <xf numFmtId="186" fontId="13" fillId="0" borderId="0" xfId="15" applyNumberFormat="1" applyFont="1" applyAlignment="1">
      <alignment/>
    </xf>
    <xf numFmtId="186" fontId="13" fillId="0" borderId="0" xfId="0" applyNumberFormat="1" applyFont="1" applyAlignment="1">
      <alignment/>
    </xf>
    <xf numFmtId="40" fontId="13" fillId="0" borderId="0" xfId="0" applyNumberFormat="1" applyFont="1" applyAlignment="1">
      <alignment/>
    </xf>
    <xf numFmtId="0" fontId="12" fillId="0" borderId="0" xfId="0" applyFont="1" applyAlignment="1">
      <alignment horizontal="center"/>
    </xf>
    <xf numFmtId="49" fontId="12" fillId="0" borderId="0" xfId="15" applyNumberFormat="1" applyFont="1" applyAlignment="1">
      <alignment horizontal="center"/>
    </xf>
    <xf numFmtId="186" fontId="12" fillId="0" borderId="0" xfId="15" applyNumberFormat="1" applyFont="1" applyAlignment="1">
      <alignment horizontal="center"/>
    </xf>
    <xf numFmtId="186" fontId="12" fillId="0" borderId="0" xfId="0" applyNumberFormat="1" applyFont="1" applyAlignment="1">
      <alignment horizontal="center"/>
    </xf>
    <xf numFmtId="38" fontId="12" fillId="0" borderId="0" xfId="0" applyNumberFormat="1" applyFont="1" applyAlignment="1">
      <alignment horizontal="center"/>
    </xf>
    <xf numFmtId="40" fontId="12" fillId="0" borderId="0" xfId="0" applyNumberFormat="1" applyFont="1" applyAlignment="1">
      <alignment horizontal="center"/>
    </xf>
    <xf numFmtId="0" fontId="13" fillId="0" borderId="0" xfId="0" applyFont="1" applyAlignment="1">
      <alignment/>
    </xf>
    <xf numFmtId="186" fontId="13" fillId="0" borderId="0" xfId="0" applyNumberFormat="1" applyFont="1" applyAlignment="1" quotePrefix="1">
      <alignment/>
    </xf>
    <xf numFmtId="187" fontId="13" fillId="0" borderId="0" xfId="15" applyNumberFormat="1" applyFont="1" applyAlignment="1">
      <alignment/>
    </xf>
    <xf numFmtId="186" fontId="13" fillId="0" borderId="0" xfId="15" applyNumberFormat="1" applyFont="1" applyAlignment="1">
      <alignment/>
    </xf>
    <xf numFmtId="186" fontId="13" fillId="0" borderId="1" xfId="15" applyNumberFormat="1" applyFont="1" applyBorder="1" applyAlignment="1">
      <alignment/>
    </xf>
    <xf numFmtId="176" fontId="13" fillId="0" borderId="0" xfId="15" applyNumberFormat="1" applyFont="1" applyAlignment="1">
      <alignment/>
    </xf>
    <xf numFmtId="186" fontId="13" fillId="0" borderId="0" xfId="15" applyNumberFormat="1" applyFont="1" applyBorder="1" applyAlignment="1">
      <alignment/>
    </xf>
    <xf numFmtId="186" fontId="13" fillId="0" borderId="0" xfId="15" applyNumberFormat="1" applyFont="1" applyBorder="1" applyAlignment="1">
      <alignment/>
    </xf>
    <xf numFmtId="186" fontId="13" fillId="0" borderId="0" xfId="0" applyNumberFormat="1" applyFont="1" applyBorder="1" applyAlignment="1">
      <alignment/>
    </xf>
    <xf numFmtId="186" fontId="13" fillId="0" borderId="0" xfId="0" applyNumberFormat="1" applyFont="1" applyBorder="1" applyAlignment="1" quotePrefix="1">
      <alignment/>
    </xf>
    <xf numFmtId="186" fontId="13" fillId="0" borderId="0" xfId="0" applyNumberFormat="1" applyFont="1" applyAlignment="1">
      <alignment/>
    </xf>
    <xf numFmtId="186" fontId="0" fillId="0" borderId="0" xfId="0" applyNumberFormat="1" applyAlignment="1">
      <alignment/>
    </xf>
    <xf numFmtId="186" fontId="13" fillId="0" borderId="8" xfId="15" applyNumberFormat="1" applyFont="1" applyBorder="1" applyAlignment="1">
      <alignment/>
    </xf>
    <xf numFmtId="0" fontId="14" fillId="0" borderId="0" xfId="0" applyFont="1" applyAlignment="1" quotePrefix="1">
      <alignment/>
    </xf>
    <xf numFmtId="187" fontId="12" fillId="0" borderId="0" xfId="15" applyNumberFormat="1" applyFont="1" applyBorder="1" applyAlignment="1">
      <alignment/>
    </xf>
    <xf numFmtId="186" fontId="12" fillId="0" borderId="43" xfId="15" applyNumberFormat="1" applyFont="1" applyBorder="1" applyAlignment="1">
      <alignment/>
    </xf>
    <xf numFmtId="176" fontId="13" fillId="0" borderId="1" xfId="15" applyNumberFormat="1" applyFont="1" applyBorder="1" applyAlignment="1">
      <alignment/>
    </xf>
    <xf numFmtId="186" fontId="12" fillId="0" borderId="0" xfId="15" applyNumberFormat="1" applyFont="1" applyBorder="1" applyAlignment="1">
      <alignment/>
    </xf>
    <xf numFmtId="176" fontId="13" fillId="0" borderId="0" xfId="15" applyNumberFormat="1" applyFont="1" applyBorder="1" applyAlignment="1">
      <alignment/>
    </xf>
    <xf numFmtId="186" fontId="13" fillId="0" borderId="1" xfId="15" applyNumberFormat="1" applyFont="1" applyBorder="1" applyAlignment="1">
      <alignment/>
    </xf>
    <xf numFmtId="187" fontId="12" fillId="0" borderId="12" xfId="15" applyNumberFormat="1" applyFont="1" applyBorder="1" applyAlignment="1">
      <alignment/>
    </xf>
    <xf numFmtId="186" fontId="13" fillId="0" borderId="8" xfId="0" applyNumberFormat="1" applyFont="1" applyBorder="1" applyAlignment="1">
      <alignment/>
    </xf>
    <xf numFmtId="0" fontId="19" fillId="0" borderId="0" xfId="0" applyFont="1" applyBorder="1" applyAlignment="1">
      <alignment/>
    </xf>
    <xf numFmtId="187" fontId="13" fillId="0" borderId="0" xfId="15" applyNumberFormat="1" applyFont="1" applyBorder="1" applyAlignment="1">
      <alignment/>
    </xf>
    <xf numFmtId="38" fontId="13" fillId="0" borderId="0" xfId="0" applyNumberFormat="1" applyFont="1" applyBorder="1" applyAlignment="1">
      <alignment/>
    </xf>
    <xf numFmtId="40" fontId="13" fillId="0" borderId="0" xfId="0" applyNumberFormat="1" applyFont="1" applyBorder="1" applyAlignment="1">
      <alignment/>
    </xf>
    <xf numFmtId="0" fontId="13" fillId="0" borderId="0" xfId="0" applyFont="1" applyBorder="1" applyAlignment="1">
      <alignment/>
    </xf>
    <xf numFmtId="0" fontId="13" fillId="0" borderId="0" xfId="0" applyFont="1" applyBorder="1" applyAlignment="1" quotePrefix="1">
      <alignment/>
    </xf>
    <xf numFmtId="176" fontId="3" fillId="0" borderId="0" xfId="15" applyNumberFormat="1" applyFont="1" applyAlignment="1">
      <alignment/>
    </xf>
    <xf numFmtId="176" fontId="3" fillId="0" borderId="5" xfId="0" applyNumberFormat="1" applyFont="1" applyBorder="1" applyAlignment="1">
      <alignment/>
    </xf>
    <xf numFmtId="176" fontId="3" fillId="0" borderId="12" xfId="0" applyNumberFormat="1" applyFont="1" applyBorder="1" applyAlignment="1">
      <alignment/>
    </xf>
    <xf numFmtId="0" fontId="1" fillId="0" borderId="3" xfId="0" applyFont="1" applyBorder="1" applyAlignment="1">
      <alignment horizontal="center"/>
    </xf>
    <xf numFmtId="0" fontId="1" fillId="0" borderId="22" xfId="0" applyFont="1" applyBorder="1" applyAlignment="1">
      <alignment/>
    </xf>
    <xf numFmtId="0" fontId="1" fillId="0" borderId="27" xfId="0" applyFont="1" applyBorder="1" applyAlignment="1">
      <alignment/>
    </xf>
    <xf numFmtId="0" fontId="5" fillId="0" borderId="0" xfId="0" applyFont="1" applyBorder="1" applyAlignment="1">
      <alignment horizontal="left"/>
    </xf>
    <xf numFmtId="176" fontId="1" fillId="0" borderId="9" xfId="15" applyNumberFormat="1" applyFont="1" applyBorder="1" applyAlignment="1">
      <alignment/>
    </xf>
    <xf numFmtId="174" fontId="1" fillId="0" borderId="47" xfId="15" applyNumberFormat="1" applyFont="1" applyBorder="1" applyAlignment="1">
      <alignment/>
    </xf>
    <xf numFmtId="10" fontId="1" fillId="0" borderId="47" xfId="22" applyNumberFormat="1" applyFont="1" applyBorder="1" applyAlignment="1">
      <alignment/>
    </xf>
    <xf numFmtId="10" fontId="1" fillId="0" borderId="3" xfId="22" applyNumberFormat="1" applyFont="1" applyBorder="1" applyAlignment="1">
      <alignment/>
    </xf>
    <xf numFmtId="10" fontId="1" fillId="0" borderId="9" xfId="0" applyNumberFormat="1" applyFont="1" applyBorder="1" applyAlignment="1">
      <alignment/>
    </xf>
    <xf numFmtId="174" fontId="1" fillId="0" borderId="18" xfId="15" applyNumberFormat="1" applyFont="1" applyBorder="1" applyAlignment="1">
      <alignment/>
    </xf>
    <xf numFmtId="174" fontId="1" fillId="0" borderId="48" xfId="0" applyNumberFormat="1" applyFont="1" applyBorder="1" applyAlignment="1">
      <alignment/>
    </xf>
    <xf numFmtId="174" fontId="1" fillId="0" borderId="49" xfId="15" applyNumberFormat="1" applyFont="1" applyBorder="1" applyAlignment="1">
      <alignment horizontal="centerContinuous" vertical="center"/>
    </xf>
    <xf numFmtId="174" fontId="1" fillId="0" borderId="50" xfId="15" applyNumberFormat="1" applyFont="1" applyBorder="1" applyAlignment="1">
      <alignment horizontal="centerContinuous" vertical="center"/>
    </xf>
    <xf numFmtId="174" fontId="1" fillId="0" borderId="51" xfId="0" applyNumberFormat="1" applyFont="1" applyBorder="1" applyAlignment="1">
      <alignment/>
    </xf>
    <xf numFmtId="174" fontId="1" fillId="0" borderId="52" xfId="15" applyNumberFormat="1" applyFont="1" applyBorder="1" applyAlignment="1">
      <alignment horizontal="centerContinuous" vertical="center"/>
    </xf>
    <xf numFmtId="174" fontId="1" fillId="0" borderId="9" xfId="0" applyNumberFormat="1" applyFont="1" applyBorder="1" applyAlignment="1">
      <alignment/>
    </xf>
    <xf numFmtId="43" fontId="2" fillId="0" borderId="3" xfId="15" applyFont="1" applyBorder="1" applyAlignment="1">
      <alignment/>
    </xf>
    <xf numFmtId="43" fontId="2" fillId="0" borderId="9" xfId="15" applyFont="1" applyBorder="1" applyAlignment="1">
      <alignment/>
    </xf>
    <xf numFmtId="43" fontId="21" fillId="0" borderId="0" xfId="15" applyFont="1" applyAlignment="1">
      <alignment/>
    </xf>
    <xf numFmtId="43" fontId="1" fillId="3" borderId="0" xfId="0" applyNumberFormat="1" applyFont="1" applyFill="1" applyAlignment="1">
      <alignment/>
    </xf>
    <xf numFmtId="174" fontId="1" fillId="0" borderId="25" xfId="0" applyNumberFormat="1" applyFont="1" applyBorder="1" applyAlignment="1">
      <alignment/>
    </xf>
    <xf numFmtId="174" fontId="1" fillId="0" borderId="20" xfId="15" applyNumberFormat="1" applyFont="1" applyBorder="1" applyAlignment="1">
      <alignment/>
    </xf>
    <xf numFmtId="37" fontId="22" fillId="0" borderId="0" xfId="0" applyNumberFormat="1" applyFont="1" applyAlignment="1" applyProtection="1">
      <alignment/>
      <protection/>
    </xf>
    <xf numFmtId="37" fontId="23" fillId="0" borderId="0" xfId="0" applyNumberFormat="1" applyFont="1" applyAlignment="1" applyProtection="1">
      <alignment/>
      <protection/>
    </xf>
    <xf numFmtId="37" fontId="23" fillId="0" borderId="53" xfId="0" applyNumberFormat="1" applyFont="1" applyBorder="1" applyAlignment="1" applyProtection="1">
      <alignment/>
      <protection/>
    </xf>
    <xf numFmtId="37" fontId="23" fillId="0" borderId="53" xfId="0" applyNumberFormat="1" applyFont="1" applyBorder="1" applyAlignment="1" applyProtection="1">
      <alignment horizontal="center"/>
      <protection/>
    </xf>
    <xf numFmtId="43" fontId="23" fillId="0" borderId="53" xfId="15" applyFont="1" applyBorder="1" applyAlignment="1" applyProtection="1">
      <alignment/>
      <protection/>
    </xf>
    <xf numFmtId="37" fontId="23" fillId="0" borderId="53" xfId="0" applyNumberFormat="1" applyFont="1" applyBorder="1" applyAlignment="1" applyProtection="1">
      <alignment/>
      <protection/>
    </xf>
    <xf numFmtId="43" fontId="23" fillId="0" borderId="0" xfId="15" applyFont="1" applyAlignment="1" applyProtection="1">
      <alignment/>
      <protection/>
    </xf>
    <xf numFmtId="43" fontId="23" fillId="0" borderId="0" xfId="15" applyFont="1" applyBorder="1" applyAlignment="1" applyProtection="1">
      <alignment/>
      <protection/>
    </xf>
    <xf numFmtId="43" fontId="24" fillId="0" borderId="0" xfId="15" applyFont="1" applyBorder="1" applyAlignment="1" applyProtection="1">
      <alignment/>
      <protection/>
    </xf>
    <xf numFmtId="180" fontId="23" fillId="0" borderId="0" xfId="0" applyNumberFormat="1" applyFont="1" applyAlignment="1" applyProtection="1">
      <alignment/>
      <protection/>
    </xf>
    <xf numFmtId="0" fontId="20" fillId="0" borderId="0" xfId="0" applyFont="1" applyAlignment="1">
      <alignment/>
    </xf>
    <xf numFmtId="37" fontId="23" fillId="0" borderId="0" xfId="0" applyNumberFormat="1" applyFont="1" applyAlignment="1" applyProtection="1">
      <alignment/>
      <protection/>
    </xf>
    <xf numFmtId="37" fontId="23" fillId="0" borderId="0" xfId="0" applyNumberFormat="1" applyFont="1" applyBorder="1" applyAlignment="1" applyProtection="1">
      <alignment/>
      <protection/>
    </xf>
    <xf numFmtId="174" fontId="2" fillId="0" borderId="0" xfId="15" applyNumberFormat="1" applyFont="1" applyAlignment="1">
      <alignment/>
    </xf>
    <xf numFmtId="37" fontId="20" fillId="0" borderId="53" xfId="0" applyNumberFormat="1" applyFont="1" applyBorder="1" applyAlignment="1" applyProtection="1">
      <alignment horizontal="center"/>
      <protection/>
    </xf>
    <xf numFmtId="176" fontId="2" fillId="0" borderId="10" xfId="15" applyNumberFormat="1" applyFont="1" applyBorder="1" applyAlignment="1">
      <alignment/>
    </xf>
    <xf numFmtId="176" fontId="2" fillId="0" borderId="3" xfId="15" applyNumberFormat="1" applyFont="1" applyBorder="1" applyAlignment="1">
      <alignment/>
    </xf>
    <xf numFmtId="176" fontId="2" fillId="0" borderId="1" xfId="15" applyNumberFormat="1" applyFont="1" applyBorder="1" applyAlignment="1">
      <alignment/>
    </xf>
    <xf numFmtId="176" fontId="2" fillId="0" borderId="9" xfId="15" applyNumberFormat="1" applyFont="1" applyBorder="1" applyAlignment="1">
      <alignment/>
    </xf>
    <xf numFmtId="0" fontId="3" fillId="0" borderId="0" xfId="0" applyFont="1" applyBorder="1" applyAlignment="1">
      <alignment/>
    </xf>
    <xf numFmtId="176" fontId="3" fillId="0" borderId="0" xfId="15" applyNumberFormat="1" applyFont="1" applyBorder="1" applyAlignment="1">
      <alignment/>
    </xf>
    <xf numFmtId="0" fontId="1" fillId="0" borderId="8" xfId="0" applyFont="1" applyBorder="1" applyAlignment="1">
      <alignment horizontal="center"/>
    </xf>
    <xf numFmtId="0" fontId="1" fillId="0" borderId="13" xfId="0" applyFont="1" applyBorder="1" applyAlignment="1">
      <alignment/>
    </xf>
    <xf numFmtId="0" fontId="1" fillId="0" borderId="6" xfId="0" applyFont="1" applyBorder="1" applyAlignment="1">
      <alignment horizontal="center"/>
    </xf>
    <xf numFmtId="0" fontId="1" fillId="0" borderId="54" xfId="0" applyFont="1" applyBorder="1" applyAlignment="1">
      <alignment/>
    </xf>
    <xf numFmtId="0" fontId="1" fillId="0" borderId="55" xfId="0" applyFont="1" applyBorder="1" applyAlignment="1">
      <alignment/>
    </xf>
    <xf numFmtId="0" fontId="2" fillId="0" borderId="55" xfId="0" applyFont="1" applyBorder="1" applyAlignment="1">
      <alignment/>
    </xf>
    <xf numFmtId="0" fontId="2" fillId="0" borderId="3" xfId="0" applyFont="1" applyBorder="1" applyAlignment="1">
      <alignment/>
    </xf>
    <xf numFmtId="0" fontId="1" fillId="0" borderId="56" xfId="0" applyFont="1" applyBorder="1" applyAlignment="1">
      <alignment horizontal="center"/>
    </xf>
    <xf numFmtId="0" fontId="1" fillId="0" borderId="56" xfId="0" applyFont="1" applyBorder="1" applyAlignment="1">
      <alignment/>
    </xf>
    <xf numFmtId="188" fontId="28" fillId="0" borderId="1" xfId="0" applyNumberFormat="1" applyFont="1" applyBorder="1" applyAlignment="1">
      <alignment horizontal="center"/>
    </xf>
    <xf numFmtId="188" fontId="28" fillId="0" borderId="0" xfId="0" applyNumberFormat="1" applyFont="1" applyBorder="1" applyAlignment="1">
      <alignment horizontal="center"/>
    </xf>
    <xf numFmtId="189" fontId="6" fillId="0" borderId="3" xfId="0" applyNumberFormat="1" applyFont="1" applyBorder="1" applyAlignment="1">
      <alignment horizontal="center"/>
    </xf>
    <xf numFmtId="188" fontId="1" fillId="0" borderId="3" xfId="0" applyNumberFormat="1" applyFont="1" applyBorder="1" applyAlignment="1">
      <alignment horizontal="center"/>
    </xf>
    <xf numFmtId="174" fontId="1" fillId="0" borderId="24" xfId="15" applyNumberFormat="1" applyFont="1" applyBorder="1" applyAlignment="1">
      <alignment/>
    </xf>
    <xf numFmtId="174" fontId="2" fillId="0" borderId="1" xfId="15" applyNumberFormat="1" applyFont="1" applyBorder="1" applyAlignment="1">
      <alignment/>
    </xf>
    <xf numFmtId="174" fontId="2" fillId="0" borderId="20" xfId="15" applyNumberFormat="1" applyFont="1" applyBorder="1" applyAlignment="1">
      <alignment/>
    </xf>
    <xf numFmtId="176" fontId="29" fillId="0" borderId="0" xfId="0" applyNumberFormat="1" applyFont="1" applyAlignment="1">
      <alignment/>
    </xf>
    <xf numFmtId="174" fontId="2" fillId="0" borderId="0" xfId="15" applyNumberFormat="1" applyFont="1" applyFill="1" applyAlignment="1">
      <alignment/>
    </xf>
    <xf numFmtId="184" fontId="1" fillId="0" borderId="0" xfId="0" applyNumberFormat="1" applyFont="1" applyAlignment="1">
      <alignment/>
    </xf>
    <xf numFmtId="0" fontId="29" fillId="0" borderId="0" xfId="0" applyFont="1" applyAlignment="1">
      <alignment/>
    </xf>
    <xf numFmtId="174" fontId="29" fillId="0" borderId="0" xfId="15" applyNumberFormat="1" applyFont="1" applyAlignment="1">
      <alignment/>
    </xf>
    <xf numFmtId="174" fontId="1" fillId="0" borderId="0" xfId="15" applyNumberFormat="1" applyFont="1" applyAlignment="1">
      <alignment/>
    </xf>
    <xf numFmtId="174" fontId="1" fillId="0" borderId="12" xfId="15" applyNumberFormat="1" applyFont="1" applyBorder="1" applyAlignment="1">
      <alignment/>
    </xf>
    <xf numFmtId="174" fontId="1" fillId="0" borderId="12" xfId="0" applyNumberFormat="1" applyFont="1" applyBorder="1" applyAlignment="1">
      <alignment/>
    </xf>
    <xf numFmtId="174" fontId="29" fillId="0" borderId="12" xfId="15" applyNumberFormat="1" applyFont="1" applyBorder="1" applyAlignment="1">
      <alignment/>
    </xf>
    <xf numFmtId="174" fontId="1" fillId="0" borderId="0" xfId="0" applyNumberFormat="1" applyFont="1" applyAlignment="1">
      <alignment horizontal="center"/>
    </xf>
    <xf numFmtId="174" fontId="3" fillId="0" borderId="0" xfId="15" applyNumberFormat="1" applyFont="1" applyAlignment="1">
      <alignment/>
    </xf>
    <xf numFmtId="174" fontId="3" fillId="0" borderId="12" xfId="15" applyNumberFormat="1" applyFont="1" applyBorder="1" applyAlignment="1">
      <alignment/>
    </xf>
    <xf numFmtId="191" fontId="29" fillId="0" borderId="0" xfId="0" applyNumberFormat="1" applyFont="1" applyAlignment="1">
      <alignment/>
    </xf>
    <xf numFmtId="174" fontId="30" fillId="0" borderId="0" xfId="15" applyNumberFormat="1" applyFont="1" applyAlignment="1">
      <alignment horizontal="center"/>
    </xf>
    <xf numFmtId="0" fontId="31" fillId="0" borderId="0" xfId="0" applyFont="1" applyAlignment="1">
      <alignment horizontal="center"/>
    </xf>
    <xf numFmtId="183" fontId="1" fillId="0" borderId="0" xfId="15" applyNumberFormat="1" applyFont="1" applyAlignment="1">
      <alignment/>
    </xf>
    <xf numFmtId="43" fontId="26" fillId="0" borderId="53" xfId="15" applyFont="1" applyBorder="1" applyAlignment="1" applyProtection="1">
      <alignment/>
      <protection/>
    </xf>
    <xf numFmtId="43" fontId="0" fillId="0" borderId="0" xfId="15" applyAlignment="1">
      <alignment/>
    </xf>
    <xf numFmtId="43" fontId="0" fillId="0" borderId="1" xfId="15" applyBorder="1" applyAlignment="1">
      <alignment/>
    </xf>
    <xf numFmtId="43" fontId="0" fillId="0" borderId="0" xfId="0" applyNumberFormat="1" applyAlignment="1">
      <alignment/>
    </xf>
    <xf numFmtId="176" fontId="1" fillId="0" borderId="3" xfId="15" applyNumberFormat="1" applyFont="1" applyFill="1" applyBorder="1" applyAlignment="1">
      <alignment/>
    </xf>
    <xf numFmtId="43" fontId="23" fillId="0" borderId="53" xfId="15" applyFont="1" applyFill="1" applyBorder="1" applyAlignment="1" applyProtection="1">
      <alignment/>
      <protection/>
    </xf>
    <xf numFmtId="178" fontId="2" fillId="4" borderId="0" xfId="15" applyNumberFormat="1" applyFont="1" applyFill="1" applyAlignment="1">
      <alignment/>
    </xf>
    <xf numFmtId="38" fontId="1" fillId="0" borderId="57" xfId="0" applyNumberFormat="1" applyFont="1" applyBorder="1" applyAlignment="1">
      <alignment/>
    </xf>
    <xf numFmtId="38" fontId="1" fillId="0" borderId="58" xfId="0" applyNumberFormat="1" applyFont="1" applyBorder="1" applyAlignment="1">
      <alignment/>
    </xf>
    <xf numFmtId="38" fontId="2" fillId="0" borderId="0" xfId="0" applyNumberFormat="1" applyFont="1" applyBorder="1" applyAlignment="1">
      <alignment/>
    </xf>
    <xf numFmtId="38" fontId="2" fillId="0" borderId="16" xfId="0" applyNumberFormat="1" applyFont="1" applyBorder="1" applyAlignment="1">
      <alignment/>
    </xf>
    <xf numFmtId="174" fontId="32" fillId="0" borderId="9" xfId="15" applyNumberFormat="1" applyFont="1" applyBorder="1" applyAlignment="1">
      <alignment/>
    </xf>
    <xf numFmtId="174" fontId="0" fillId="0" borderId="7" xfId="15" applyNumberFormat="1" applyFont="1" applyBorder="1" applyAlignment="1">
      <alignment/>
    </xf>
    <xf numFmtId="174" fontId="0" fillId="0" borderId="0" xfId="15" applyNumberFormat="1" applyFont="1" applyAlignment="1">
      <alignment/>
    </xf>
    <xf numFmtId="174" fontId="0" fillId="0" borderId="9" xfId="15" applyNumberFormat="1" applyFont="1" applyBorder="1" applyAlignment="1">
      <alignment/>
    </xf>
    <xf numFmtId="174" fontId="0" fillId="0" borderId="13" xfId="15" applyNumberFormat="1" applyFont="1" applyBorder="1" applyAlignment="1">
      <alignment/>
    </xf>
    <xf numFmtId="176" fontId="0" fillId="0" borderId="0" xfId="15" applyNumberFormat="1" applyFont="1" applyAlignment="1">
      <alignment/>
    </xf>
    <xf numFmtId="43" fontId="0" fillId="0" borderId="9" xfId="15" applyFont="1" applyBorder="1" applyAlignment="1">
      <alignment/>
    </xf>
    <xf numFmtId="174" fontId="0" fillId="0" borderId="0" xfId="15" applyNumberFormat="1" applyFont="1" applyBorder="1" applyAlignment="1">
      <alignment/>
    </xf>
    <xf numFmtId="174" fontId="0" fillId="0" borderId="59" xfId="15" applyNumberFormat="1" applyFont="1" applyFill="1" applyBorder="1" applyAlignment="1">
      <alignment/>
    </xf>
    <xf numFmtId="174" fontId="0" fillId="0" borderId="60" xfId="15" applyNumberFormat="1" applyFont="1" applyFill="1" applyBorder="1" applyAlignment="1">
      <alignment/>
    </xf>
    <xf numFmtId="174" fontId="0" fillId="0" borderId="9" xfId="15" applyNumberFormat="1" applyFont="1" applyFill="1" applyBorder="1" applyAlignment="1">
      <alignment/>
    </xf>
    <xf numFmtId="174" fontId="0" fillId="0" borderId="13" xfId="15" applyNumberFormat="1" applyFont="1" applyFill="1" applyBorder="1" applyAlignment="1">
      <alignment/>
    </xf>
    <xf numFmtId="174" fontId="0" fillId="0" borderId="7" xfId="15" applyNumberFormat="1" applyFont="1" applyFill="1" applyBorder="1" applyAlignment="1">
      <alignment/>
    </xf>
    <xf numFmtId="174" fontId="32" fillId="0" borderId="9" xfId="15" applyNumberFormat="1" applyFont="1" applyFill="1" applyBorder="1" applyAlignment="1">
      <alignment/>
    </xf>
    <xf numFmtId="174" fontId="0" fillId="0" borderId="0" xfId="15" applyNumberFormat="1" applyFont="1" applyFill="1" applyBorder="1" applyAlignment="1">
      <alignment/>
    </xf>
    <xf numFmtId="174" fontId="0" fillId="0" borderId="0" xfId="15" applyNumberFormat="1" applyFont="1" applyFill="1" applyAlignment="1">
      <alignment/>
    </xf>
    <xf numFmtId="174" fontId="0" fillId="0" borderId="8" xfId="15" applyNumberFormat="1" applyFont="1" applyBorder="1" applyAlignment="1">
      <alignment/>
    </xf>
    <xf numFmtId="174" fontId="32" fillId="0" borderId="9" xfId="15" applyNumberFormat="1" applyFont="1" applyFill="1" applyBorder="1" applyAlignment="1">
      <alignment horizontal="center"/>
    </xf>
    <xf numFmtId="43" fontId="32" fillId="0" borderId="9" xfId="15" applyNumberFormat="1" applyFont="1" applyFill="1" applyBorder="1" applyAlignment="1">
      <alignment/>
    </xf>
    <xf numFmtId="174" fontId="32" fillId="0" borderId="0" xfId="15" applyNumberFormat="1" applyFont="1" applyFill="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xf>
    <xf numFmtId="0" fontId="0" fillId="0" borderId="0" xfId="0" applyFont="1" applyFill="1" applyAlignment="1">
      <alignment horizontal="center"/>
    </xf>
    <xf numFmtId="0" fontId="0" fillId="0" borderId="1" xfId="0" applyFont="1" applyBorder="1" applyAlignment="1">
      <alignment/>
    </xf>
    <xf numFmtId="0" fontId="0" fillId="0" borderId="0" xfId="0" applyFont="1" applyBorder="1" applyAlignment="1">
      <alignment/>
    </xf>
    <xf numFmtId="176" fontId="0" fillId="0" borderId="0" xfId="0" applyNumberFormat="1" applyFont="1" applyAlignment="1">
      <alignment/>
    </xf>
    <xf numFmtId="176" fontId="0" fillId="0" borderId="0" xfId="15" applyNumberFormat="1" applyFont="1" applyBorder="1" applyAlignment="1">
      <alignment/>
    </xf>
    <xf numFmtId="176" fontId="0" fillId="0" borderId="0" xfId="15" applyNumberFormat="1" applyFont="1" applyFill="1" applyAlignment="1">
      <alignment/>
    </xf>
    <xf numFmtId="43" fontId="0" fillId="0" borderId="0" xfId="15" applyFont="1" applyAlignment="1">
      <alignment/>
    </xf>
    <xf numFmtId="0" fontId="33" fillId="0" borderId="0" xfId="0" applyFont="1" applyAlignment="1">
      <alignment/>
    </xf>
    <xf numFmtId="176" fontId="33" fillId="0" borderId="0" xfId="15" applyNumberFormat="1" applyFont="1" applyAlignment="1">
      <alignment/>
    </xf>
    <xf numFmtId="0" fontId="32" fillId="0" borderId="0" xfId="0" applyFont="1" applyAlignment="1">
      <alignment/>
    </xf>
    <xf numFmtId="0" fontId="0" fillId="0" borderId="10" xfId="0" applyFont="1" applyBorder="1" applyAlignment="1">
      <alignment/>
    </xf>
    <xf numFmtId="0" fontId="0" fillId="0" borderId="2" xfId="0" applyFont="1" applyBorder="1" applyAlignment="1">
      <alignment horizontal="center"/>
    </xf>
    <xf numFmtId="0" fontId="0" fillId="0" borderId="4" xfId="0" applyFont="1" applyBorder="1" applyAlignment="1">
      <alignment/>
    </xf>
    <xf numFmtId="0" fontId="0" fillId="0" borderId="5" xfId="0" applyFont="1" applyBorder="1" applyAlignment="1">
      <alignment/>
    </xf>
    <xf numFmtId="0" fontId="0" fillId="0" borderId="5" xfId="0" applyFont="1" applyFill="1" applyBorder="1" applyAlignment="1">
      <alignment/>
    </xf>
    <xf numFmtId="0" fontId="0" fillId="0" borderId="22" xfId="0" applyFont="1" applyBorder="1" applyAlignment="1">
      <alignment/>
    </xf>
    <xf numFmtId="176" fontId="0" fillId="0" borderId="25" xfId="15" applyNumberFormat="1" applyFont="1" applyBorder="1" applyAlignment="1">
      <alignment/>
    </xf>
    <xf numFmtId="43" fontId="0" fillId="0" borderId="0" xfId="15" applyFont="1" applyAlignment="1">
      <alignment horizontal="left"/>
    </xf>
    <xf numFmtId="0" fontId="34" fillId="0" borderId="0" xfId="0" applyFont="1" applyAlignment="1">
      <alignment/>
    </xf>
    <xf numFmtId="0" fontId="34" fillId="0" borderId="0" xfId="0" applyFont="1" applyAlignment="1">
      <alignment horizontal="center"/>
    </xf>
    <xf numFmtId="0" fontId="32" fillId="0" borderId="0" xfId="0" applyFont="1" applyAlignment="1">
      <alignment horizontal="center"/>
    </xf>
    <xf numFmtId="9" fontId="32" fillId="0" borderId="0" xfId="22" applyFont="1" applyAlignment="1">
      <alignment horizontal="center"/>
    </xf>
    <xf numFmtId="9" fontId="0" fillId="0" borderId="0" xfId="22" applyFont="1" applyAlignment="1">
      <alignment horizontal="center"/>
    </xf>
    <xf numFmtId="38" fontId="0" fillId="0" borderId="0" xfId="0" applyNumberFormat="1" applyFont="1" applyAlignment="1">
      <alignment horizontal="center"/>
    </xf>
    <xf numFmtId="9" fontId="0" fillId="0" borderId="0" xfId="22" applyFont="1" applyAlignment="1">
      <alignment/>
    </xf>
    <xf numFmtId="38" fontId="0" fillId="0" borderId="0" xfId="0" applyNumberFormat="1" applyFont="1" applyAlignment="1">
      <alignment/>
    </xf>
    <xf numFmtId="10" fontId="0" fillId="0" borderId="0" xfId="22" applyNumberFormat="1" applyFont="1" applyAlignment="1">
      <alignment/>
    </xf>
    <xf numFmtId="38" fontId="0" fillId="0" borderId="0" xfId="0" applyNumberFormat="1" applyFont="1" applyBorder="1" applyAlignment="1">
      <alignment/>
    </xf>
    <xf numFmtId="176" fontId="0" fillId="0" borderId="5" xfId="15" applyNumberFormat="1" applyFont="1" applyBorder="1" applyAlignment="1">
      <alignment/>
    </xf>
    <xf numFmtId="38" fontId="0" fillId="0" borderId="0" xfId="15" applyNumberFormat="1" applyFont="1" applyAlignment="1">
      <alignment/>
    </xf>
    <xf numFmtId="38" fontId="0" fillId="0" borderId="0" xfId="15" applyNumberFormat="1" applyFont="1" applyBorder="1" applyAlignment="1">
      <alignment/>
    </xf>
    <xf numFmtId="38" fontId="0" fillId="0" borderId="5" xfId="15" applyNumberFormat="1" applyFont="1" applyBorder="1" applyAlignment="1">
      <alignment/>
    </xf>
    <xf numFmtId="38" fontId="0" fillId="0" borderId="1" xfId="15" applyNumberFormat="1" applyFont="1" applyBorder="1" applyAlignment="1">
      <alignment/>
    </xf>
    <xf numFmtId="0" fontId="0" fillId="0" borderId="0" xfId="0" applyFont="1" applyAlignment="1" quotePrefix="1">
      <alignment/>
    </xf>
    <xf numFmtId="176" fontId="0" fillId="0" borderId="25" xfId="15" applyNumberFormat="1" applyFont="1" applyFill="1" applyBorder="1" applyAlignment="1">
      <alignment/>
    </xf>
    <xf numFmtId="38" fontId="0" fillId="0" borderId="0" xfId="15" applyNumberFormat="1" applyFont="1" applyFill="1" applyAlignment="1">
      <alignment/>
    </xf>
    <xf numFmtId="38" fontId="0" fillId="0" borderId="0" xfId="15" applyNumberFormat="1" applyFont="1" applyFill="1" applyBorder="1" applyAlignment="1">
      <alignment/>
    </xf>
    <xf numFmtId="38" fontId="0" fillId="0" borderId="1" xfId="0" applyNumberFormat="1" applyFont="1" applyBorder="1" applyAlignment="1">
      <alignment/>
    </xf>
    <xf numFmtId="38" fontId="0" fillId="0" borderId="43" xfId="15" applyNumberFormat="1" applyFont="1" applyBorder="1" applyAlignment="1">
      <alignment/>
    </xf>
    <xf numFmtId="0" fontId="0" fillId="0" borderId="0" xfId="0" applyFont="1" applyBorder="1" applyAlignment="1">
      <alignment horizontal="center"/>
    </xf>
    <xf numFmtId="0" fontId="32" fillId="0" borderId="0" xfId="0" applyFont="1" applyBorder="1" applyAlignment="1">
      <alignment horizontal="center"/>
    </xf>
    <xf numFmtId="43" fontId="33" fillId="0" borderId="0" xfId="15" applyFont="1" applyAlignment="1">
      <alignment/>
    </xf>
    <xf numFmtId="43" fontId="0" fillId="0" borderId="0" xfId="15" applyFont="1" applyFill="1" applyBorder="1" applyAlignment="1">
      <alignment/>
    </xf>
    <xf numFmtId="43" fontId="0" fillId="0" borderId="0" xfId="0" applyNumberFormat="1" applyFont="1" applyFill="1" applyBorder="1" applyAlignment="1">
      <alignment/>
    </xf>
    <xf numFmtId="43" fontId="0" fillId="0" borderId="12" xfId="15" applyFont="1" applyBorder="1" applyAlignment="1">
      <alignment/>
    </xf>
    <xf numFmtId="43" fontId="0" fillId="0" borderId="0" xfId="0" applyNumberFormat="1" applyFont="1" applyAlignment="1">
      <alignment/>
    </xf>
    <xf numFmtId="0" fontId="0" fillId="0" borderId="0" xfId="0" applyFont="1" applyAlignment="1">
      <alignment/>
    </xf>
    <xf numFmtId="9" fontId="0" fillId="0" borderId="0" xfId="0" applyNumberFormat="1" applyFont="1" applyAlignment="1">
      <alignment/>
    </xf>
    <xf numFmtId="43" fontId="0" fillId="0" borderId="0" xfId="15" applyFont="1" applyBorder="1" applyAlignment="1">
      <alignment/>
    </xf>
    <xf numFmtId="43" fontId="0" fillId="0" borderId="9" xfId="0" applyNumberFormat="1" applyFont="1" applyBorder="1" applyAlignment="1">
      <alignment/>
    </xf>
    <xf numFmtId="0" fontId="0" fillId="0" borderId="0" xfId="0" applyFont="1" applyFill="1" applyBorder="1" applyAlignment="1">
      <alignment/>
    </xf>
    <xf numFmtId="43" fontId="33" fillId="0" borderId="0" xfId="15" applyFont="1" applyBorder="1" applyAlignment="1">
      <alignment/>
    </xf>
    <xf numFmtId="43" fontId="0" fillId="0" borderId="12" xfId="0" applyNumberFormat="1" applyFont="1" applyBorder="1" applyAlignment="1">
      <alignment/>
    </xf>
    <xf numFmtId="43" fontId="0" fillId="0" borderId="0" xfId="0" applyNumberFormat="1" applyFont="1" applyBorder="1" applyAlignment="1">
      <alignment/>
    </xf>
    <xf numFmtId="43" fontId="0" fillId="0" borderId="8" xfId="15" applyFont="1" applyBorder="1" applyAlignment="1">
      <alignment/>
    </xf>
    <xf numFmtId="43" fontId="0" fillId="0" borderId="61" xfId="15" applyFont="1" applyBorder="1" applyAlignment="1">
      <alignment/>
    </xf>
    <xf numFmtId="43" fontId="0" fillId="0" borderId="62" xfId="15" applyFont="1" applyBorder="1" applyAlignment="1">
      <alignment/>
    </xf>
    <xf numFmtId="43" fontId="0" fillId="0" borderId="0" xfId="15" applyNumberFormat="1" applyFont="1" applyAlignment="1">
      <alignment/>
    </xf>
    <xf numFmtId="43" fontId="0" fillId="0" borderId="0" xfId="15" applyNumberFormat="1" applyFont="1" applyBorder="1" applyAlignment="1">
      <alignment/>
    </xf>
    <xf numFmtId="43" fontId="0" fillId="0" borderId="5" xfId="15" applyNumberFormat="1" applyFont="1" applyBorder="1" applyAlignment="1">
      <alignment/>
    </xf>
    <xf numFmtId="0" fontId="0" fillId="0" borderId="0" xfId="0" applyFont="1" applyAlignment="1">
      <alignment horizontal="left" vertical="justify"/>
    </xf>
    <xf numFmtId="0" fontId="0" fillId="0" borderId="0" xfId="0" applyFont="1" applyAlignment="1">
      <alignment horizontal="left"/>
    </xf>
    <xf numFmtId="43" fontId="0" fillId="0" borderId="0" xfId="15" applyNumberFormat="1" applyFont="1" applyBorder="1" applyAlignment="1">
      <alignment/>
    </xf>
    <xf numFmtId="43" fontId="0" fillId="0" borderId="8" xfId="15" applyNumberFormat="1" applyFont="1" applyBorder="1" applyAlignment="1">
      <alignment/>
    </xf>
    <xf numFmtId="43" fontId="0" fillId="0" borderId="1" xfId="15" applyNumberFormat="1" applyFont="1" applyBorder="1" applyAlignment="1">
      <alignment/>
    </xf>
    <xf numFmtId="9" fontId="32" fillId="0" borderId="0" xfId="0" applyNumberFormat="1" applyFont="1" applyAlignment="1">
      <alignment horizontal="center"/>
    </xf>
    <xf numFmtId="0" fontId="0" fillId="0" borderId="9" xfId="15" applyNumberFormat="1" applyFont="1" applyFill="1" applyBorder="1" applyAlignment="1">
      <alignment/>
    </xf>
    <xf numFmtId="176" fontId="1" fillId="0" borderId="10" xfId="15" applyNumberFormat="1" applyFont="1" applyFill="1" applyBorder="1" applyAlignment="1">
      <alignment/>
    </xf>
    <xf numFmtId="0" fontId="35" fillId="0" borderId="0" xfId="0" applyFont="1" applyAlignment="1">
      <alignment horizontal="center"/>
    </xf>
    <xf numFmtId="0" fontId="35" fillId="0" borderId="0" xfId="0" applyFont="1" applyAlignment="1">
      <alignment/>
    </xf>
    <xf numFmtId="189" fontId="0" fillId="0" borderId="0" xfId="0" applyNumberFormat="1" applyFont="1" applyBorder="1" applyAlignment="1">
      <alignment horizontal="center"/>
    </xf>
    <xf numFmtId="0" fontId="0" fillId="0" borderId="0" xfId="0" applyFont="1" applyAlignment="1" quotePrefix="1">
      <alignment horizontal="center"/>
    </xf>
    <xf numFmtId="176" fontId="0" fillId="0" borderId="1" xfId="15" applyNumberFormat="1" applyFont="1" applyBorder="1" applyAlignment="1">
      <alignment/>
    </xf>
    <xf numFmtId="38" fontId="0" fillId="5" borderId="0" xfId="15" applyNumberFormat="1" applyFont="1" applyFill="1" applyBorder="1" applyAlignment="1">
      <alignment/>
    </xf>
    <xf numFmtId="0" fontId="1" fillId="5" borderId="0" xfId="0" applyFont="1" applyFill="1" applyAlignment="1">
      <alignment/>
    </xf>
    <xf numFmtId="0" fontId="1" fillId="0" borderId="0" xfId="0" applyFont="1" applyFill="1" applyAlignment="1">
      <alignment/>
    </xf>
    <xf numFmtId="174" fontId="32" fillId="0" borderId="60" xfId="15" applyNumberFormat="1" applyFont="1" applyFill="1" applyBorder="1" applyAlignment="1">
      <alignment horizontal="center"/>
    </xf>
    <xf numFmtId="39" fontId="0" fillId="0" borderId="0" xfId="0" applyNumberFormat="1" applyFont="1" applyFill="1" applyAlignment="1">
      <alignment/>
    </xf>
    <xf numFmtId="39" fontId="0" fillId="0" borderId="0" xfId="0" applyNumberFormat="1" applyFont="1" applyFill="1" applyBorder="1" applyAlignment="1">
      <alignment/>
    </xf>
    <xf numFmtId="39" fontId="32" fillId="0" borderId="0" xfId="0" applyNumberFormat="1" applyFont="1" applyFill="1" applyAlignment="1" applyProtection="1">
      <alignment horizontal="center"/>
      <protection/>
    </xf>
    <xf numFmtId="0" fontId="32" fillId="0" borderId="0" xfId="0" applyFont="1" applyFill="1" applyAlignment="1">
      <alignment horizontal="center"/>
    </xf>
    <xf numFmtId="39" fontId="32" fillId="0" borderId="0" xfId="0" applyNumberFormat="1" applyFont="1" applyFill="1" applyBorder="1" applyAlignment="1" applyProtection="1">
      <alignment horizontal="center"/>
      <protection/>
    </xf>
    <xf numFmtId="176" fontId="0" fillId="0" borderId="0" xfId="15" applyNumberFormat="1" applyFont="1" applyFill="1" applyBorder="1" applyAlignment="1">
      <alignment/>
    </xf>
    <xf numFmtId="176" fontId="0" fillId="0" borderId="0" xfId="0" applyNumberFormat="1" applyFont="1" applyFill="1" applyAlignment="1">
      <alignment/>
    </xf>
    <xf numFmtId="176" fontId="0" fillId="0" borderId="0" xfId="15" applyNumberFormat="1" applyFont="1" applyFill="1" applyAlignment="1" applyProtection="1">
      <alignment/>
      <protection/>
    </xf>
    <xf numFmtId="176" fontId="32" fillId="0" borderId="12" xfId="15" applyNumberFormat="1" applyFont="1" applyFill="1" applyBorder="1" applyAlignment="1" applyProtection="1">
      <alignment/>
      <protection/>
    </xf>
    <xf numFmtId="176" fontId="0" fillId="0" borderId="0" xfId="15" applyNumberFormat="1" applyFont="1" applyFill="1" applyBorder="1" applyAlignment="1" applyProtection="1">
      <alignment/>
      <protection/>
    </xf>
    <xf numFmtId="43" fontId="0" fillId="0" borderId="0" xfId="15" applyNumberFormat="1" applyFont="1" applyFill="1" applyAlignment="1" applyProtection="1">
      <alignment/>
      <protection/>
    </xf>
    <xf numFmtId="43" fontId="0" fillId="0" borderId="0" xfId="15" applyNumberFormat="1" applyFont="1" applyFill="1" applyBorder="1" applyAlignment="1" applyProtection="1">
      <alignment/>
      <protection/>
    </xf>
    <xf numFmtId="43" fontId="0" fillId="0" borderId="0" xfId="15" applyNumberFormat="1" applyFont="1" applyFill="1" applyAlignment="1">
      <alignment/>
    </xf>
    <xf numFmtId="176" fontId="32" fillId="0" borderId="0" xfId="15" applyNumberFormat="1" applyFont="1" applyFill="1" applyAlignment="1" applyProtection="1">
      <alignment/>
      <protection/>
    </xf>
    <xf numFmtId="176" fontId="0" fillId="0" borderId="63" xfId="15" applyNumberFormat="1" applyFont="1" applyFill="1" applyBorder="1" applyAlignment="1" applyProtection="1">
      <alignment/>
      <protection/>
    </xf>
    <xf numFmtId="176" fontId="32" fillId="0" borderId="20" xfId="15" applyNumberFormat="1" applyFont="1" applyFill="1" applyBorder="1" applyAlignment="1" applyProtection="1">
      <alignment/>
      <protection/>
    </xf>
    <xf numFmtId="0" fontId="32" fillId="0" borderId="0" xfId="0" applyFont="1" applyFill="1" applyAlignment="1">
      <alignment/>
    </xf>
    <xf numFmtId="176" fontId="0" fillId="0" borderId="64" xfId="15" applyNumberFormat="1" applyFont="1" applyFill="1" applyBorder="1" applyAlignment="1" applyProtection="1">
      <alignment/>
      <protection/>
    </xf>
    <xf numFmtId="176" fontId="32" fillId="0" borderId="65" xfId="15" applyNumberFormat="1" applyFont="1" applyFill="1" applyBorder="1" applyAlignment="1" applyProtection="1">
      <alignment/>
      <protection/>
    </xf>
    <xf numFmtId="43" fontId="0" fillId="0" borderId="0" xfId="15" applyFont="1" applyFill="1" applyAlignment="1">
      <alignment/>
    </xf>
    <xf numFmtId="0" fontId="0" fillId="0" borderId="4" xfId="0" applyFont="1" applyBorder="1" applyAlignment="1">
      <alignment horizontal="center"/>
    </xf>
    <xf numFmtId="0" fontId="0" fillId="0" borderId="22" xfId="0" applyFont="1" applyBorder="1" applyAlignment="1">
      <alignment horizontal="center"/>
    </xf>
    <xf numFmtId="176" fontId="38" fillId="0" borderId="0" xfId="15" applyNumberFormat="1" applyFont="1" applyAlignment="1">
      <alignment/>
    </xf>
    <xf numFmtId="176" fontId="38" fillId="0" borderId="0" xfId="0" applyNumberFormat="1" applyFont="1" applyAlignment="1">
      <alignment/>
    </xf>
    <xf numFmtId="176" fontId="38" fillId="0" borderId="0" xfId="15" applyNumberFormat="1" applyFont="1" applyFill="1" applyAlignment="1">
      <alignment/>
    </xf>
    <xf numFmtId="179" fontId="38" fillId="0" borderId="0" xfId="0" applyNumberFormat="1" applyFont="1" applyFill="1" applyAlignment="1">
      <alignment/>
    </xf>
    <xf numFmtId="174" fontId="33" fillId="0" borderId="0" xfId="15" applyNumberFormat="1" applyFont="1" applyAlignment="1">
      <alignment/>
    </xf>
    <xf numFmtId="0" fontId="0" fillId="0" borderId="5" xfId="0"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0" fontId="35" fillId="0" borderId="11" xfId="0" applyFont="1" applyBorder="1" applyAlignment="1">
      <alignment horizontal="center"/>
    </xf>
    <xf numFmtId="0" fontId="0" fillId="0" borderId="23" xfId="0" applyFont="1" applyBorder="1" applyAlignment="1">
      <alignment/>
    </xf>
    <xf numFmtId="0" fontId="0" fillId="0" borderId="11" xfId="0" applyFont="1" applyBorder="1" applyAlignment="1">
      <alignment/>
    </xf>
    <xf numFmtId="43" fontId="36" fillId="0" borderId="0" xfId="15" applyFont="1" applyFill="1" applyBorder="1" applyAlignment="1">
      <alignment/>
    </xf>
    <xf numFmtId="174" fontId="0" fillId="0" borderId="23" xfId="15" applyNumberFormat="1" applyFont="1" applyBorder="1" applyAlignment="1">
      <alignment/>
    </xf>
    <xf numFmtId="174" fontId="0" fillId="0" borderId="11" xfId="15" applyNumberFormat="1" applyFont="1" applyBorder="1" applyAlignment="1">
      <alignment/>
    </xf>
    <xf numFmtId="174" fontId="0" fillId="0" borderId="0" xfId="15" applyNumberFormat="1" applyFont="1" applyBorder="1" applyAlignment="1">
      <alignment/>
    </xf>
    <xf numFmtId="174" fontId="33" fillId="0" borderId="0" xfId="15" applyNumberFormat="1" applyFont="1" applyBorder="1" applyAlignment="1">
      <alignment/>
    </xf>
    <xf numFmtId="174" fontId="36" fillId="0" borderId="0" xfId="15" applyNumberFormat="1" applyFont="1" applyFill="1" applyBorder="1" applyAlignment="1">
      <alignment/>
    </xf>
    <xf numFmtId="174" fontId="33" fillId="0" borderId="0" xfId="15" applyNumberFormat="1" applyFont="1" applyBorder="1" applyAlignment="1">
      <alignment/>
    </xf>
    <xf numFmtId="174" fontId="0" fillId="0" borderId="11" xfId="0" applyNumberFormat="1" applyFont="1" applyBorder="1" applyAlignment="1">
      <alignment/>
    </xf>
    <xf numFmtId="174" fontId="0" fillId="0" borderId="7" xfId="0" applyNumberFormat="1" applyFont="1" applyBorder="1" applyAlignment="1">
      <alignment/>
    </xf>
    <xf numFmtId="174" fontId="0" fillId="0" borderId="8" xfId="0" applyNumberFormat="1" applyFont="1" applyBorder="1" applyAlignment="1">
      <alignment/>
    </xf>
    <xf numFmtId="174" fontId="0" fillId="0" borderId="13" xfId="0" applyNumberFormat="1" applyFont="1" applyBorder="1" applyAlignment="1">
      <alignment/>
    </xf>
    <xf numFmtId="174" fontId="0" fillId="0" borderId="0" xfId="0" applyNumberFormat="1" applyFont="1" applyBorder="1" applyAlignment="1">
      <alignment/>
    </xf>
    <xf numFmtId="174" fontId="0" fillId="0" borderId="6" xfId="15" applyNumberFormat="1" applyFont="1" applyBorder="1" applyAlignment="1">
      <alignment/>
    </xf>
    <xf numFmtId="43" fontId="0" fillId="0" borderId="6" xfId="15" applyFont="1" applyBorder="1" applyAlignment="1">
      <alignment/>
    </xf>
    <xf numFmtId="174" fontId="0" fillId="0" borderId="0" xfId="0" applyNumberFormat="1" applyFont="1" applyAlignment="1">
      <alignment/>
    </xf>
    <xf numFmtId="174" fontId="0" fillId="0" borderId="6" xfId="0" applyNumberFormat="1" applyFont="1" applyBorder="1" applyAlignment="1">
      <alignment/>
    </xf>
    <xf numFmtId="174" fontId="0" fillId="0" borderId="24" xfId="0" applyNumberFormat="1" applyFont="1" applyBorder="1" applyAlignment="1">
      <alignment/>
    </xf>
    <xf numFmtId="174" fontId="0" fillId="0" borderId="66" xfId="0" applyNumberFormat="1" applyFont="1" applyBorder="1" applyAlignment="1">
      <alignment/>
    </xf>
    <xf numFmtId="174" fontId="0" fillId="0" borderId="1" xfId="0" applyNumberFormat="1" applyFont="1" applyBorder="1" applyAlignment="1">
      <alignment/>
    </xf>
    <xf numFmtId="0" fontId="0" fillId="0" borderId="6" xfId="0" applyFont="1" applyBorder="1" applyAlignment="1">
      <alignment/>
    </xf>
    <xf numFmtId="0" fontId="0" fillId="0" borderId="0" xfId="0" applyFont="1" applyAlignment="1">
      <alignment horizontal="right"/>
    </xf>
    <xf numFmtId="177" fontId="0" fillId="0" borderId="0" xfId="0" applyNumberFormat="1" applyFont="1" applyAlignment="1">
      <alignment/>
    </xf>
    <xf numFmtId="174" fontId="33" fillId="0" borderId="0" xfId="0" applyNumberFormat="1" applyFont="1" applyAlignment="1">
      <alignment/>
    </xf>
    <xf numFmtId="174" fontId="0" fillId="0" borderId="0" xfId="15" applyNumberFormat="1" applyFont="1" applyFill="1" applyBorder="1" applyAlignment="1">
      <alignment/>
    </xf>
    <xf numFmtId="174" fontId="33" fillId="0" borderId="0" xfId="15" applyNumberFormat="1" applyFont="1" applyFill="1" applyBorder="1" applyAlignment="1">
      <alignment/>
    </xf>
    <xf numFmtId="174" fontId="0" fillId="0" borderId="0" xfId="0" applyNumberFormat="1" applyFont="1" applyFill="1" applyAlignment="1">
      <alignment/>
    </xf>
    <xf numFmtId="0" fontId="0" fillId="0" borderId="9" xfId="0" applyFont="1" applyFill="1" applyBorder="1" applyAlignment="1">
      <alignment horizontal="center"/>
    </xf>
    <xf numFmtId="9" fontId="0" fillId="0" borderId="0" xfId="22" applyFont="1" applyFill="1" applyAlignment="1">
      <alignment/>
    </xf>
    <xf numFmtId="179" fontId="0" fillId="0" borderId="0" xfId="15" applyNumberFormat="1" applyFont="1" applyAlignment="1">
      <alignment/>
    </xf>
    <xf numFmtId="1" fontId="0" fillId="0" borderId="0" xfId="0" applyNumberFormat="1" applyFont="1" applyAlignment="1">
      <alignment/>
    </xf>
    <xf numFmtId="38" fontId="0" fillId="5" borderId="0" xfId="15" applyNumberFormat="1" applyFont="1" applyFill="1" applyAlignment="1">
      <alignment/>
    </xf>
    <xf numFmtId="38" fontId="1" fillId="0" borderId="67" xfId="0" applyNumberFormat="1" applyFont="1" applyBorder="1" applyAlignment="1">
      <alignment/>
    </xf>
    <xf numFmtId="41" fontId="1" fillId="0" borderId="0" xfId="0" applyNumberFormat="1" applyFont="1" applyAlignment="1">
      <alignment/>
    </xf>
    <xf numFmtId="41" fontId="6" fillId="0" borderId="0" xfId="0" applyNumberFormat="1" applyFont="1" applyAlignment="1">
      <alignment horizontal="center"/>
    </xf>
    <xf numFmtId="15" fontId="6" fillId="0" borderId="0" xfId="0" applyNumberFormat="1" applyFont="1" applyBorder="1" applyAlignment="1">
      <alignment horizontal="center"/>
    </xf>
    <xf numFmtId="14" fontId="6" fillId="0" borderId="0" xfId="0" applyNumberFormat="1" applyFont="1" applyAlignment="1">
      <alignment horizontal="center"/>
    </xf>
    <xf numFmtId="41" fontId="1" fillId="0" borderId="0" xfId="15" applyNumberFormat="1" applyFont="1" applyAlignment="1">
      <alignment/>
    </xf>
    <xf numFmtId="38" fontId="1" fillId="0" borderId="0" xfId="15" applyNumberFormat="1" applyFont="1" applyAlignment="1">
      <alignment/>
    </xf>
    <xf numFmtId="41" fontId="1" fillId="0" borderId="0" xfId="15" applyNumberFormat="1" applyFont="1" applyFill="1" applyAlignment="1">
      <alignment/>
    </xf>
    <xf numFmtId="37" fontId="1" fillId="0" borderId="0" xfId="15" applyNumberFormat="1" applyFont="1" applyAlignment="1">
      <alignment/>
    </xf>
    <xf numFmtId="38" fontId="1" fillId="0" borderId="0" xfId="15" applyNumberFormat="1" applyFont="1" applyBorder="1" applyAlignment="1">
      <alignment/>
    </xf>
    <xf numFmtId="41" fontId="1" fillId="0" borderId="5" xfId="15" applyNumberFormat="1" applyFont="1" applyBorder="1" applyAlignment="1">
      <alignment/>
    </xf>
    <xf numFmtId="37" fontId="1" fillId="0" borderId="0" xfId="15" applyNumberFormat="1" applyFont="1" applyBorder="1" applyAlignment="1">
      <alignment/>
    </xf>
    <xf numFmtId="41" fontId="1" fillId="0" borderId="8" xfId="15" applyNumberFormat="1" applyFont="1" applyBorder="1" applyAlignment="1">
      <alignment/>
    </xf>
    <xf numFmtId="41" fontId="1" fillId="0" borderId="8" xfId="0" applyNumberFormat="1" applyFont="1" applyBorder="1" applyAlignment="1">
      <alignment/>
    </xf>
    <xf numFmtId="0" fontId="39" fillId="0" borderId="0" xfId="0" applyFont="1" applyAlignment="1">
      <alignment horizontal="right"/>
    </xf>
    <xf numFmtId="41" fontId="39" fillId="0" borderId="0" xfId="0" applyNumberFormat="1" applyFont="1" applyAlignment="1">
      <alignment/>
    </xf>
    <xf numFmtId="176" fontId="39" fillId="0" borderId="0" xfId="0" applyNumberFormat="1" applyFont="1" applyAlignment="1">
      <alignment/>
    </xf>
    <xf numFmtId="41" fontId="7" fillId="0" borderId="0" xfId="0" applyNumberFormat="1" applyFont="1" applyAlignment="1">
      <alignment/>
    </xf>
    <xf numFmtId="176" fontId="39" fillId="0" borderId="0" xfId="15" applyNumberFormat="1" applyFont="1" applyAlignment="1">
      <alignment/>
    </xf>
    <xf numFmtId="41" fontId="39" fillId="0" borderId="0" xfId="15" applyNumberFormat="1" applyFont="1" applyAlignment="1">
      <alignment/>
    </xf>
    <xf numFmtId="176" fontId="1" fillId="0" borderId="2" xfId="15" applyNumberFormat="1" applyFont="1" applyFill="1" applyBorder="1" applyAlignment="1">
      <alignment/>
    </xf>
    <xf numFmtId="176" fontId="2" fillId="0" borderId="10" xfId="15" applyNumberFormat="1" applyFont="1" applyFill="1" applyBorder="1" applyAlignment="1">
      <alignment/>
    </xf>
    <xf numFmtId="176" fontId="2" fillId="0" borderId="3" xfId="15" applyNumberFormat="1" applyFont="1" applyFill="1" applyBorder="1" applyAlignment="1">
      <alignment/>
    </xf>
    <xf numFmtId="176" fontId="2" fillId="0" borderId="2" xfId="15" applyNumberFormat="1" applyFont="1" applyFill="1" applyBorder="1" applyAlignment="1">
      <alignment/>
    </xf>
    <xf numFmtId="174" fontId="32" fillId="0" borderId="0" xfId="15" applyNumberFormat="1" applyFont="1" applyFill="1" applyBorder="1" applyAlignment="1">
      <alignment/>
    </xf>
    <xf numFmtId="174" fontId="32" fillId="0" borderId="12" xfId="15" applyNumberFormat="1" applyFont="1" applyFill="1" applyBorder="1" applyAlignment="1">
      <alignment/>
    </xf>
    <xf numFmtId="0" fontId="0" fillId="0" borderId="0" xfId="0" applyNumberFormat="1" applyFont="1" applyFill="1" applyAlignment="1">
      <alignment/>
    </xf>
    <xf numFmtId="0" fontId="32" fillId="0" borderId="0" xfId="0" applyFont="1" applyFill="1" applyAlignment="1" applyProtection="1">
      <alignment horizontal="center"/>
      <protection/>
    </xf>
    <xf numFmtId="43" fontId="32" fillId="0" borderId="0" xfId="15" applyNumberFormat="1" applyFont="1" applyFill="1" applyAlignment="1" applyProtection="1">
      <alignment/>
      <protection/>
    </xf>
    <xf numFmtId="176" fontId="32" fillId="0" borderId="0" xfId="15" applyNumberFormat="1" applyFont="1" applyFill="1" applyAlignment="1">
      <alignment/>
    </xf>
    <xf numFmtId="0" fontId="0" fillId="0" borderId="0" xfId="15" applyNumberFormat="1" applyFont="1" applyFill="1" applyAlignment="1">
      <alignment/>
    </xf>
    <xf numFmtId="41" fontId="1" fillId="0" borderId="5" xfId="15" applyNumberFormat="1" applyFont="1" applyFill="1" applyBorder="1" applyAlignment="1">
      <alignment/>
    </xf>
    <xf numFmtId="43" fontId="40" fillId="0" borderId="53" xfId="15" applyFont="1" applyFill="1" applyBorder="1" applyAlignment="1" applyProtection="1">
      <alignment/>
      <protection/>
    </xf>
    <xf numFmtId="0" fontId="41" fillId="0" borderId="0" xfId="0" applyFont="1" applyAlignment="1">
      <alignment/>
    </xf>
    <xf numFmtId="0" fontId="9" fillId="0" borderId="0" xfId="0" applyFont="1" applyAlignment="1">
      <alignment/>
    </xf>
    <xf numFmtId="0" fontId="33" fillId="0" borderId="0" xfId="0" applyFont="1" applyFill="1" applyAlignment="1">
      <alignment/>
    </xf>
    <xf numFmtId="0" fontId="0" fillId="0" borderId="0" xfId="0" applyFont="1" applyFill="1" applyAlignment="1">
      <alignment horizontal="left" vertical="justify"/>
    </xf>
    <xf numFmtId="43" fontId="0" fillId="0" borderId="0" xfId="15" applyNumberFormat="1" applyFont="1" applyFill="1" applyBorder="1" applyAlignment="1">
      <alignment/>
    </xf>
    <xf numFmtId="41" fontId="1" fillId="0" borderId="0" xfId="15" applyNumberFormat="1" applyFont="1" applyBorder="1" applyAlignment="1">
      <alignment/>
    </xf>
    <xf numFmtId="41" fontId="1" fillId="0" borderId="1" xfId="15" applyNumberFormat="1" applyFont="1" applyBorder="1" applyAlignment="1">
      <alignment/>
    </xf>
    <xf numFmtId="41" fontId="15" fillId="0" borderId="0" xfId="0" applyNumberFormat="1" applyFont="1" applyAlignment="1">
      <alignment/>
    </xf>
    <xf numFmtId="43" fontId="15" fillId="0" borderId="0" xfId="15" applyFont="1" applyAlignment="1">
      <alignment/>
    </xf>
    <xf numFmtId="41" fontId="15" fillId="0" borderId="0" xfId="15" applyNumberFormat="1" applyFont="1" applyAlignment="1">
      <alignment/>
    </xf>
    <xf numFmtId="176" fontId="43" fillId="0" borderId="2" xfId="15" applyNumberFormat="1" applyFont="1" applyFill="1" applyBorder="1" applyAlignment="1">
      <alignment/>
    </xf>
    <xf numFmtId="0" fontId="43" fillId="0" borderId="9" xfId="15" applyNumberFormat="1" applyFont="1" applyFill="1" applyBorder="1" applyAlignment="1">
      <alignment/>
    </xf>
    <xf numFmtId="0" fontId="43" fillId="0" borderId="6" xfId="15" applyNumberFormat="1" applyFont="1" applyFill="1" applyBorder="1" applyAlignment="1">
      <alignment/>
    </xf>
    <xf numFmtId="176" fontId="43" fillId="0" borderId="2" xfId="15" applyNumberFormat="1" applyFont="1" applyFill="1" applyBorder="1" applyAlignment="1">
      <alignment horizontal="left"/>
    </xf>
    <xf numFmtId="176" fontId="43" fillId="0" borderId="27" xfId="15" applyNumberFormat="1" applyFont="1" applyFill="1" applyBorder="1" applyAlignment="1">
      <alignment horizontal="left"/>
    </xf>
    <xf numFmtId="0" fontId="43" fillId="0" borderId="6" xfId="15" applyNumberFormat="1" applyFont="1" applyFill="1" applyBorder="1" applyAlignment="1" quotePrefix="1">
      <alignment/>
    </xf>
    <xf numFmtId="0" fontId="0" fillId="6" borderId="0" xfId="0" applyFont="1" applyFill="1" applyAlignment="1">
      <alignment/>
    </xf>
    <xf numFmtId="9" fontId="0" fillId="6" borderId="0" xfId="22" applyFont="1" applyFill="1" applyAlignment="1">
      <alignment/>
    </xf>
    <xf numFmtId="43" fontId="0" fillId="6" borderId="0" xfId="15" applyFont="1" applyFill="1" applyAlignment="1">
      <alignment horizontal="left"/>
    </xf>
    <xf numFmtId="38" fontId="0" fillId="6" borderId="0" xfId="0" applyNumberFormat="1" applyFont="1" applyFill="1" applyAlignment="1">
      <alignment/>
    </xf>
    <xf numFmtId="174" fontId="32" fillId="0" borderId="2" xfId="15" applyNumberFormat="1" applyFont="1" applyFill="1" applyBorder="1" applyAlignment="1">
      <alignment/>
    </xf>
    <xf numFmtId="43" fontId="0" fillId="0" borderId="8" xfId="15" applyNumberFormat="1" applyFont="1" applyFill="1" applyBorder="1" applyAlignment="1">
      <alignment/>
    </xf>
    <xf numFmtId="43" fontId="32" fillId="0" borderId="12" xfId="0" applyNumberFormat="1" applyFont="1" applyBorder="1" applyAlignment="1">
      <alignment/>
    </xf>
    <xf numFmtId="9" fontId="1" fillId="5" borderId="0" xfId="0" applyNumberFormat="1" applyFont="1" applyFill="1" applyAlignment="1">
      <alignment/>
    </xf>
    <xf numFmtId="174" fontId="0" fillId="0" borderId="3" xfId="0" applyNumberFormat="1" applyFont="1" applyFill="1" applyBorder="1" applyAlignment="1">
      <alignment/>
    </xf>
    <xf numFmtId="176" fontId="43" fillId="0" borderId="68" xfId="15" applyNumberFormat="1" applyFont="1" applyFill="1" applyBorder="1" applyAlignment="1">
      <alignment/>
    </xf>
    <xf numFmtId="0" fontId="43" fillId="0" borderId="0" xfId="0" applyFont="1" applyFill="1" applyAlignment="1">
      <alignment/>
    </xf>
    <xf numFmtId="176" fontId="42" fillId="0" borderId="3" xfId="15" applyNumberFormat="1" applyFont="1" applyFill="1" applyBorder="1" applyAlignment="1">
      <alignment horizontal="center"/>
    </xf>
    <xf numFmtId="176" fontId="42" fillId="0" borderId="69" xfId="15" applyNumberFormat="1" applyFont="1" applyFill="1" applyBorder="1" applyAlignment="1">
      <alignment horizontal="center"/>
    </xf>
    <xf numFmtId="43" fontId="38" fillId="0" borderId="0" xfId="0" applyNumberFormat="1" applyFont="1" applyAlignment="1">
      <alignment/>
    </xf>
    <xf numFmtId="0" fontId="0" fillId="2" borderId="0" xfId="0" applyFont="1" applyFill="1" applyAlignment="1" quotePrefix="1">
      <alignment horizontal="center"/>
    </xf>
    <xf numFmtId="176" fontId="0" fillId="2" borderId="0" xfId="15" applyNumberFormat="1" applyFont="1" applyFill="1" applyAlignment="1">
      <alignment/>
    </xf>
    <xf numFmtId="0" fontId="0" fillId="2" borderId="0" xfId="0" applyFont="1" applyFill="1" applyAlignment="1">
      <alignment/>
    </xf>
    <xf numFmtId="43" fontId="0" fillId="2" borderId="9" xfId="0" applyNumberFormat="1" applyFont="1" applyFill="1" applyBorder="1" applyAlignment="1">
      <alignment/>
    </xf>
    <xf numFmtId="174" fontId="0" fillId="2" borderId="9" xfId="15" applyNumberFormat="1" applyFont="1" applyFill="1" applyBorder="1" applyAlignment="1">
      <alignment/>
    </xf>
    <xf numFmtId="0" fontId="0" fillId="0" borderId="23" xfId="0" applyFont="1" applyBorder="1" applyAlignment="1" quotePrefix="1">
      <alignment/>
    </xf>
    <xf numFmtId="0" fontId="0" fillId="0" borderId="6" xfId="0" applyFont="1" applyBorder="1" applyAlignment="1" quotePrefix="1">
      <alignment/>
    </xf>
    <xf numFmtId="0" fontId="32" fillId="0" borderId="0" xfId="0" applyFont="1" applyAlignment="1">
      <alignment horizontal="left"/>
    </xf>
    <xf numFmtId="171" fontId="0" fillId="0" borderId="0" xfId="17" applyAlignment="1">
      <alignment/>
    </xf>
    <xf numFmtId="171" fontId="0" fillId="0" borderId="0" xfId="17" applyFont="1" applyAlignment="1" quotePrefix="1">
      <alignment/>
    </xf>
    <xf numFmtId="187" fontId="0" fillId="0" borderId="0" xfId="17" applyNumberFormat="1" applyFont="1" applyAlignment="1" quotePrefix="1">
      <alignment/>
    </xf>
    <xf numFmtId="176" fontId="0" fillId="0" borderId="0" xfId="15" applyNumberFormat="1" applyAlignment="1" quotePrefix="1">
      <alignment/>
    </xf>
    <xf numFmtId="10" fontId="0" fillId="0" borderId="0" xfId="22" applyNumberFormat="1" applyAlignment="1">
      <alignment/>
    </xf>
    <xf numFmtId="0" fontId="0" fillId="0" borderId="0" xfId="0" applyAlignment="1">
      <alignment horizontal="left"/>
    </xf>
    <xf numFmtId="187" fontId="0" fillId="0" borderId="0" xfId="17" applyNumberFormat="1" applyAlignment="1">
      <alignment/>
    </xf>
    <xf numFmtId="176" fontId="0" fillId="0" borderId="0" xfId="15" applyNumberFormat="1" applyAlignment="1">
      <alignment/>
    </xf>
    <xf numFmtId="16" fontId="0" fillId="0" borderId="0" xfId="0" applyNumberFormat="1" applyAlignment="1">
      <alignment horizontal="left"/>
    </xf>
    <xf numFmtId="176" fontId="0" fillId="0" borderId="0" xfId="15" applyNumberFormat="1" applyFont="1" applyFill="1" applyBorder="1" applyAlignment="1">
      <alignment/>
    </xf>
    <xf numFmtId="16" fontId="0" fillId="0" borderId="0" xfId="0" applyNumberFormat="1" applyAlignment="1">
      <alignment/>
    </xf>
    <xf numFmtId="43" fontId="0" fillId="0" borderId="0" xfId="15" applyAlignment="1">
      <alignment/>
    </xf>
    <xf numFmtId="187" fontId="0" fillId="0" borderId="0" xfId="15" applyNumberFormat="1" applyAlignment="1">
      <alignment/>
    </xf>
    <xf numFmtId="171" fontId="0" fillId="0" borderId="0" xfId="17" applyBorder="1" applyAlignment="1">
      <alignment/>
    </xf>
    <xf numFmtId="187" fontId="0" fillId="0" borderId="25" xfId="17" applyNumberFormat="1" applyBorder="1" applyAlignment="1">
      <alignment/>
    </xf>
    <xf numFmtId="171" fontId="0" fillId="0" borderId="0" xfId="17" applyFont="1" applyAlignment="1">
      <alignment/>
    </xf>
    <xf numFmtId="171" fontId="0" fillId="0" borderId="0" xfId="15" applyNumberFormat="1" applyAlignment="1">
      <alignment/>
    </xf>
    <xf numFmtId="171" fontId="0" fillId="0" borderId="0" xfId="17" applyNumberFormat="1" applyAlignment="1">
      <alignment/>
    </xf>
    <xf numFmtId="15" fontId="0" fillId="0" borderId="0" xfId="0" applyNumberFormat="1" applyFont="1" applyBorder="1" applyAlignment="1" quotePrefix="1">
      <alignment/>
    </xf>
    <xf numFmtId="0" fontId="0" fillId="0" borderId="0" xfId="0" applyFont="1" applyBorder="1" applyAlignment="1" quotePrefix="1">
      <alignment/>
    </xf>
    <xf numFmtId="0" fontId="0" fillId="0" borderId="4" xfId="0" applyFont="1" applyBorder="1" applyAlignment="1" quotePrefix="1">
      <alignment/>
    </xf>
    <xf numFmtId="176" fontId="0" fillId="0" borderId="5" xfId="15" applyNumberFormat="1" applyFont="1" applyFill="1" applyBorder="1" applyAlignment="1">
      <alignment/>
    </xf>
    <xf numFmtId="176" fontId="0" fillId="0" borderId="1" xfId="15" applyNumberFormat="1" applyFont="1" applyFill="1" applyBorder="1" applyAlignment="1">
      <alignment/>
    </xf>
    <xf numFmtId="0" fontId="0" fillId="0" borderId="27" xfId="0" applyFont="1" applyBorder="1" applyAlignment="1">
      <alignment/>
    </xf>
    <xf numFmtId="176" fontId="0" fillId="0" borderId="20" xfId="15" applyNumberFormat="1" applyFont="1" applyBorder="1" applyAlignment="1">
      <alignment/>
    </xf>
    <xf numFmtId="176" fontId="0" fillId="0" borderId="20" xfId="15" applyNumberFormat="1" applyFont="1" applyFill="1" applyBorder="1" applyAlignment="1">
      <alignment/>
    </xf>
    <xf numFmtId="43" fontId="0" fillId="0" borderId="20" xfId="15" applyFont="1" applyBorder="1" applyAlignment="1">
      <alignment/>
    </xf>
    <xf numFmtId="0" fontId="0" fillId="0" borderId="1" xfId="0" applyFont="1" applyBorder="1" applyAlignment="1" quotePrefix="1">
      <alignment/>
    </xf>
    <xf numFmtId="176" fontId="0" fillId="0" borderId="0" xfId="15" applyNumberFormat="1" applyFont="1" applyAlignment="1">
      <alignment horizontal="right"/>
    </xf>
    <xf numFmtId="176" fontId="0" fillId="0" borderId="20" xfId="15" applyNumberFormat="1" applyFont="1" applyBorder="1" applyAlignment="1">
      <alignment horizontal="right"/>
    </xf>
    <xf numFmtId="174" fontId="44" fillId="0" borderId="1" xfId="15" applyNumberFormat="1" applyFont="1" applyBorder="1" applyAlignment="1">
      <alignment/>
    </xf>
    <xf numFmtId="174" fontId="44" fillId="0" borderId="0" xfId="15" applyNumberFormat="1" applyFont="1" applyAlignment="1">
      <alignment/>
    </xf>
    <xf numFmtId="174" fontId="2" fillId="0" borderId="25" xfId="0" applyNumberFormat="1" applyFont="1" applyBorder="1" applyAlignment="1">
      <alignment/>
    </xf>
    <xf numFmtId="176" fontId="43" fillId="0" borderId="13" xfId="15" applyNumberFormat="1" applyFont="1" applyFill="1" applyBorder="1" applyAlignment="1">
      <alignment/>
    </xf>
    <xf numFmtId="176" fontId="42" fillId="0" borderId="70" xfId="15" applyNumberFormat="1" applyFont="1" applyFill="1" applyBorder="1" applyAlignment="1">
      <alignment horizontal="center"/>
    </xf>
    <xf numFmtId="176" fontId="42" fillId="0" borderId="71" xfId="15" applyNumberFormat="1" applyFont="1" applyFill="1" applyBorder="1" applyAlignment="1">
      <alignment horizontal="center"/>
    </xf>
    <xf numFmtId="176" fontId="42" fillId="0" borderId="72" xfId="15" applyNumberFormat="1" applyFont="1" applyFill="1" applyBorder="1" applyAlignment="1">
      <alignment horizontal="center"/>
    </xf>
    <xf numFmtId="176" fontId="43" fillId="0" borderId="73" xfId="15" applyNumberFormat="1" applyFont="1" applyFill="1" applyBorder="1" applyAlignment="1">
      <alignment/>
    </xf>
    <xf numFmtId="43" fontId="40" fillId="0" borderId="53" xfId="15" applyFont="1" applyBorder="1" applyAlignment="1" applyProtection="1">
      <alignment/>
      <protection/>
    </xf>
    <xf numFmtId="0" fontId="17" fillId="0" borderId="0" xfId="0" applyFont="1" applyFill="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horizontal="center" vertical="justify"/>
    </xf>
    <xf numFmtId="0" fontId="6" fillId="0" borderId="0" xfId="0" applyFont="1" applyFill="1" applyBorder="1" applyAlignment="1">
      <alignment horizontal="center"/>
    </xf>
    <xf numFmtId="0" fontId="1" fillId="0" borderId="1" xfId="0" applyFont="1" applyFill="1" applyBorder="1" applyAlignment="1">
      <alignment/>
    </xf>
    <xf numFmtId="0" fontId="10" fillId="0" borderId="0" xfId="0" applyFont="1" applyFill="1" applyAlignment="1">
      <alignment/>
    </xf>
    <xf numFmtId="176" fontId="1" fillId="0" borderId="0" xfId="15" applyNumberFormat="1" applyFont="1" applyFill="1" applyBorder="1" applyAlignment="1">
      <alignment/>
    </xf>
    <xf numFmtId="176" fontId="1" fillId="0" borderId="0" xfId="0" applyNumberFormat="1" applyFont="1" applyFill="1" applyBorder="1" applyAlignment="1">
      <alignment/>
    </xf>
    <xf numFmtId="176" fontId="1" fillId="0" borderId="12" xfId="15" applyNumberFormat="1" applyFont="1" applyFill="1" applyBorder="1" applyAlignment="1">
      <alignment/>
    </xf>
    <xf numFmtId="176" fontId="1" fillId="0" borderId="0" xfId="15" applyNumberFormat="1" applyFont="1" applyFill="1" applyAlignment="1">
      <alignment/>
    </xf>
    <xf numFmtId="43" fontId="1" fillId="0" borderId="0" xfId="15" applyFont="1" applyFill="1" applyBorder="1" applyAlignment="1">
      <alignment/>
    </xf>
    <xf numFmtId="176" fontId="1" fillId="0" borderId="12" xfId="0" applyNumberFormat="1" applyFont="1" applyFill="1" applyBorder="1" applyAlignment="1">
      <alignment/>
    </xf>
    <xf numFmtId="0" fontId="6" fillId="0" borderId="0" xfId="0" applyFont="1" applyFill="1" applyAlignment="1">
      <alignment/>
    </xf>
    <xf numFmtId="43" fontId="1" fillId="0" borderId="0" xfId="0" applyNumberFormat="1" applyFont="1" applyFill="1" applyBorder="1" applyAlignment="1">
      <alignment/>
    </xf>
    <xf numFmtId="0" fontId="6" fillId="0" borderId="0" xfId="0" applyFont="1" applyFill="1" applyAlignment="1">
      <alignment horizontal="center"/>
    </xf>
    <xf numFmtId="0" fontId="6" fillId="0" borderId="0" xfId="0" applyFont="1" applyFill="1" applyAlignment="1">
      <alignment horizontal="center" vertical="justify"/>
    </xf>
    <xf numFmtId="0" fontId="1" fillId="0" borderId="11" xfId="0" applyFont="1" applyFill="1" applyBorder="1" applyAlignment="1">
      <alignment/>
    </xf>
    <xf numFmtId="0" fontId="1" fillId="0" borderId="23" xfId="0" applyFont="1" applyFill="1" applyBorder="1" applyAlignment="1">
      <alignment/>
    </xf>
    <xf numFmtId="176" fontId="45" fillId="0" borderId="0" xfId="15" applyNumberFormat="1" applyFont="1" applyFill="1" applyAlignment="1">
      <alignment/>
    </xf>
    <xf numFmtId="176" fontId="6" fillId="0" borderId="0" xfId="0" applyNumberFormat="1" applyFont="1" applyAlignment="1">
      <alignment/>
    </xf>
    <xf numFmtId="176" fontId="6" fillId="0" borderId="0" xfId="15" applyNumberFormat="1" applyFont="1" applyBorder="1" applyAlignment="1">
      <alignment/>
    </xf>
    <xf numFmtId="43" fontId="1" fillId="0" borderId="9" xfId="15" applyNumberFormat="1" applyFont="1" applyBorder="1" applyAlignment="1">
      <alignment/>
    </xf>
    <xf numFmtId="179" fontId="2" fillId="0" borderId="0" xfId="0" applyNumberFormat="1" applyFont="1" applyFill="1" applyAlignment="1">
      <alignment/>
    </xf>
    <xf numFmtId="43" fontId="32" fillId="0" borderId="0" xfId="15" applyNumberFormat="1" applyFont="1" applyFill="1" applyBorder="1" applyAlignment="1">
      <alignment/>
    </xf>
    <xf numFmtId="43" fontId="0" fillId="7" borderId="0" xfId="15" applyFont="1" applyFill="1" applyBorder="1" applyAlignment="1">
      <alignment/>
    </xf>
    <xf numFmtId="43" fontId="0" fillId="7" borderId="0" xfId="0" applyNumberFormat="1" applyFont="1" applyFill="1" applyAlignment="1">
      <alignment/>
    </xf>
    <xf numFmtId="43" fontId="0" fillId="7" borderId="8" xfId="15" applyNumberFormat="1" applyFont="1" applyFill="1" applyBorder="1" applyAlignment="1">
      <alignment/>
    </xf>
    <xf numFmtId="0" fontId="32" fillId="0" borderId="0" xfId="15" applyNumberFormat="1" applyFont="1" applyFill="1" applyAlignment="1">
      <alignment/>
    </xf>
    <xf numFmtId="0" fontId="32" fillId="0" borderId="10" xfId="15" applyNumberFormat="1" applyFont="1" applyFill="1" applyBorder="1" applyAlignment="1">
      <alignment/>
    </xf>
    <xf numFmtId="174" fontId="32" fillId="0" borderId="7" xfId="15" applyNumberFormat="1" applyFont="1" applyFill="1" applyBorder="1" applyAlignment="1">
      <alignment horizontal="center"/>
    </xf>
    <xf numFmtId="174" fontId="32" fillId="0" borderId="13" xfId="15" applyNumberFormat="1" applyFont="1" applyFill="1" applyBorder="1" applyAlignment="1">
      <alignment horizontal="center"/>
    </xf>
    <xf numFmtId="0" fontId="32" fillId="0" borderId="2" xfId="15" applyNumberFormat="1" applyFont="1" applyFill="1" applyBorder="1" applyAlignment="1">
      <alignment/>
    </xf>
    <xf numFmtId="0" fontId="32" fillId="0" borderId="9" xfId="15" applyNumberFormat="1" applyFont="1" applyFill="1" applyBorder="1" applyAlignment="1">
      <alignment horizontal="center"/>
    </xf>
    <xf numFmtId="174" fontId="34" fillId="0" borderId="0" xfId="15" applyNumberFormat="1" applyFont="1" applyFill="1" applyAlignment="1" quotePrefix="1">
      <alignment horizontal="center"/>
    </xf>
    <xf numFmtId="174" fontId="34" fillId="0" borderId="0" xfId="15" applyNumberFormat="1" applyFont="1" applyFill="1" applyAlignment="1">
      <alignment horizontal="center"/>
    </xf>
    <xf numFmtId="0" fontId="32" fillId="0" borderId="9" xfId="15" applyNumberFormat="1" applyFont="1" applyFill="1" applyBorder="1" applyAlignment="1">
      <alignment/>
    </xf>
    <xf numFmtId="178" fontId="0" fillId="0" borderId="0" xfId="15" applyNumberFormat="1" applyFont="1" applyFill="1" applyAlignment="1">
      <alignment/>
    </xf>
    <xf numFmtId="174" fontId="0" fillId="0" borderId="66" xfId="15" applyNumberFormat="1" applyFont="1" applyFill="1" applyBorder="1" applyAlignment="1">
      <alignment/>
    </xf>
    <xf numFmtId="0" fontId="0" fillId="0" borderId="46" xfId="15" applyNumberFormat="1" applyFont="1" applyFill="1" applyBorder="1" applyAlignment="1">
      <alignment/>
    </xf>
    <xf numFmtId="174" fontId="0" fillId="0" borderId="24" xfId="15" applyNumberFormat="1" applyFont="1" applyFill="1" applyBorder="1" applyAlignment="1">
      <alignment/>
    </xf>
    <xf numFmtId="174" fontId="32" fillId="0" borderId="46" xfId="15" applyNumberFormat="1" applyFont="1" applyFill="1" applyBorder="1" applyAlignment="1">
      <alignment/>
    </xf>
    <xf numFmtId="174" fontId="0" fillId="0" borderId="6" xfId="15" applyNumberFormat="1" applyFont="1" applyFill="1" applyBorder="1" applyAlignment="1">
      <alignment/>
    </xf>
    <xf numFmtId="0" fontId="0" fillId="0" borderId="2" xfId="15" applyNumberFormat="1" applyFont="1" applyFill="1" applyBorder="1" applyAlignment="1">
      <alignment/>
    </xf>
    <xf numFmtId="174" fontId="0" fillId="0" borderId="27" xfId="15" applyNumberFormat="1" applyFont="1" applyFill="1" applyBorder="1" applyAlignment="1">
      <alignment/>
    </xf>
    <xf numFmtId="0" fontId="0" fillId="0" borderId="0" xfId="15" applyNumberFormat="1" applyFont="1" applyFill="1" applyBorder="1" applyAlignment="1">
      <alignment/>
    </xf>
    <xf numFmtId="43" fontId="0" fillId="0" borderId="0" xfId="0" applyNumberFormat="1" applyFont="1" applyFill="1" applyAlignment="1">
      <alignment/>
    </xf>
    <xf numFmtId="176" fontId="43" fillId="0" borderId="0" xfId="15" applyNumberFormat="1" applyFont="1" applyFill="1" applyAlignment="1">
      <alignment/>
    </xf>
    <xf numFmtId="176" fontId="43" fillId="0" borderId="0" xfId="0" applyNumberFormat="1" applyFont="1" applyFill="1" applyAlignment="1">
      <alignment/>
    </xf>
    <xf numFmtId="174" fontId="0" fillId="5" borderId="0" xfId="15" applyNumberFormat="1" applyFont="1" applyFill="1" applyBorder="1" applyAlignment="1">
      <alignment/>
    </xf>
    <xf numFmtId="188" fontId="22" fillId="0" borderId="0" xfId="0" applyNumberFormat="1" applyFont="1" applyAlignment="1" applyProtection="1">
      <alignment/>
      <protection/>
    </xf>
    <xf numFmtId="0" fontId="43" fillId="0" borderId="2" xfId="15" applyNumberFormat="1" applyFont="1" applyFill="1" applyBorder="1" applyAlignment="1">
      <alignment/>
    </xf>
    <xf numFmtId="176" fontId="43" fillId="0" borderId="74" xfId="15" applyNumberFormat="1" applyFont="1" applyFill="1" applyBorder="1" applyAlignment="1">
      <alignment/>
    </xf>
    <xf numFmtId="176" fontId="42" fillId="0" borderId="74" xfId="15" applyNumberFormat="1" applyFont="1" applyFill="1" applyBorder="1" applyAlignment="1">
      <alignment horizontal="center"/>
    </xf>
    <xf numFmtId="176" fontId="42" fillId="0" borderId="75" xfId="15" applyNumberFormat="1" applyFont="1" applyFill="1" applyBorder="1" applyAlignment="1">
      <alignment horizontal="center"/>
    </xf>
    <xf numFmtId="0" fontId="43" fillId="0" borderId="76" xfId="15" applyNumberFormat="1" applyFont="1" applyFill="1" applyBorder="1" applyAlignment="1">
      <alignment horizontal="center"/>
    </xf>
    <xf numFmtId="0" fontId="43" fillId="0" borderId="3" xfId="15" applyNumberFormat="1" applyFont="1" applyFill="1" applyBorder="1" applyAlignment="1">
      <alignment/>
    </xf>
    <xf numFmtId="176" fontId="42" fillId="0" borderId="23" xfId="15" applyNumberFormat="1" applyFont="1" applyFill="1" applyBorder="1" applyAlignment="1">
      <alignment horizontal="center"/>
    </xf>
    <xf numFmtId="0" fontId="42" fillId="0" borderId="0" xfId="0" applyNumberFormat="1" applyFont="1" applyFill="1" applyAlignment="1">
      <alignment/>
    </xf>
    <xf numFmtId="0" fontId="43" fillId="0" borderId="0" xfId="0" applyNumberFormat="1" applyFont="1" applyFill="1" applyAlignment="1">
      <alignment/>
    </xf>
    <xf numFmtId="0" fontId="43" fillId="0" borderId="0" xfId="0" applyNumberFormat="1" applyFont="1" applyFill="1" applyAlignment="1">
      <alignment/>
    </xf>
    <xf numFmtId="0" fontId="43" fillId="0" borderId="77" xfId="15" applyNumberFormat="1" applyFont="1" applyFill="1" applyBorder="1" applyAlignment="1">
      <alignment/>
    </xf>
    <xf numFmtId="0" fontId="43" fillId="0" borderId="47" xfId="15" applyNumberFormat="1" applyFont="1" applyFill="1" applyBorder="1" applyAlignment="1">
      <alignment/>
    </xf>
    <xf numFmtId="176" fontId="43" fillId="0" borderId="47" xfId="15" applyNumberFormat="1" applyFont="1" applyFill="1" applyBorder="1" applyAlignment="1">
      <alignment/>
    </xf>
    <xf numFmtId="176" fontId="42" fillId="0" borderId="11" xfId="15" applyNumberFormat="1" applyFont="1" applyFill="1" applyBorder="1" applyAlignment="1">
      <alignment horizontal="center"/>
    </xf>
    <xf numFmtId="0" fontId="43" fillId="0" borderId="78" xfId="15" applyNumberFormat="1" applyFont="1" applyFill="1" applyBorder="1" applyAlignment="1">
      <alignment horizontal="center"/>
    </xf>
    <xf numFmtId="0" fontId="43" fillId="0" borderId="69" xfId="15" applyNumberFormat="1" applyFont="1" applyFill="1" applyBorder="1" applyAlignment="1">
      <alignment/>
    </xf>
    <xf numFmtId="176" fontId="42" fillId="0" borderId="79" xfId="15" applyNumberFormat="1" applyFont="1" applyFill="1" applyBorder="1" applyAlignment="1">
      <alignment horizontal="center"/>
    </xf>
    <xf numFmtId="176" fontId="42" fillId="0" borderId="80" xfId="15" applyNumberFormat="1" applyFont="1" applyFill="1" applyBorder="1" applyAlignment="1">
      <alignment horizontal="center"/>
    </xf>
    <xf numFmtId="0" fontId="43" fillId="0" borderId="81" xfId="15" applyNumberFormat="1" applyFont="1" applyFill="1" applyBorder="1" applyAlignment="1">
      <alignment/>
    </xf>
    <xf numFmtId="0" fontId="43" fillId="0" borderId="81" xfId="15" applyNumberFormat="1" applyFont="1" applyFill="1" applyBorder="1" applyAlignment="1">
      <alignment/>
    </xf>
    <xf numFmtId="176" fontId="43" fillId="0" borderId="6" xfId="15" applyNumberFormat="1" applyFont="1" applyFill="1" applyBorder="1" applyAlignment="1">
      <alignment/>
    </xf>
    <xf numFmtId="176" fontId="43" fillId="0" borderId="27" xfId="15" applyNumberFormat="1" applyFont="1" applyFill="1" applyBorder="1" applyAlignment="1">
      <alignment/>
    </xf>
    <xf numFmtId="0" fontId="43" fillId="0" borderId="7" xfId="15" applyNumberFormat="1" applyFont="1" applyFill="1" applyBorder="1" applyAlignment="1">
      <alignment/>
    </xf>
    <xf numFmtId="176" fontId="43" fillId="0" borderId="9" xfId="15" applyNumberFormat="1" applyFont="1" applyFill="1" applyBorder="1" applyAlignment="1">
      <alignment horizontal="left"/>
    </xf>
    <xf numFmtId="176" fontId="43" fillId="0" borderId="8" xfId="15" applyNumberFormat="1" applyFont="1" applyFill="1" applyBorder="1" applyAlignment="1">
      <alignment horizontal="left"/>
    </xf>
    <xf numFmtId="176" fontId="43" fillId="0" borderId="13" xfId="15" applyNumberFormat="1" applyFont="1" applyFill="1" applyBorder="1" applyAlignment="1">
      <alignment horizontal="left"/>
    </xf>
    <xf numFmtId="176" fontId="43" fillId="0" borderId="2" xfId="15" applyNumberFormat="1" applyFont="1" applyFill="1" applyBorder="1" applyAlignment="1">
      <alignment horizontal="center"/>
    </xf>
    <xf numFmtId="176" fontId="43" fillId="0" borderId="46" xfId="15" applyNumberFormat="1" applyFont="1" applyFill="1" applyBorder="1" applyAlignment="1">
      <alignment/>
    </xf>
    <xf numFmtId="176" fontId="43" fillId="0" borderId="1" xfId="15" applyNumberFormat="1" applyFont="1" applyFill="1" applyBorder="1" applyAlignment="1">
      <alignment/>
    </xf>
    <xf numFmtId="0" fontId="42" fillId="0" borderId="7" xfId="15" applyNumberFormat="1" applyFont="1" applyFill="1" applyBorder="1" applyAlignment="1">
      <alignment/>
    </xf>
    <xf numFmtId="176" fontId="43" fillId="0" borderId="82" xfId="15" applyNumberFormat="1" applyFont="1" applyFill="1" applyBorder="1" applyAlignment="1">
      <alignment/>
    </xf>
    <xf numFmtId="176" fontId="43" fillId="0" borderId="11" xfId="15" applyNumberFormat="1" applyFont="1" applyFill="1" applyBorder="1" applyAlignment="1">
      <alignment/>
    </xf>
    <xf numFmtId="176" fontId="43" fillId="0" borderId="71" xfId="15" applyNumberFormat="1" applyFont="1" applyFill="1" applyBorder="1" applyAlignment="1">
      <alignment/>
    </xf>
    <xf numFmtId="174" fontId="43" fillId="0" borderId="2" xfId="15" applyNumberFormat="1" applyFont="1" applyFill="1" applyBorder="1" applyAlignment="1">
      <alignment/>
    </xf>
    <xf numFmtId="176" fontId="43" fillId="0" borderId="6" xfId="15" applyNumberFormat="1" applyFont="1" applyFill="1" applyBorder="1" applyAlignment="1">
      <alignment horizontal="left"/>
    </xf>
    <xf numFmtId="0" fontId="43" fillId="0" borderId="0" xfId="15" applyNumberFormat="1" applyFont="1" applyFill="1" applyAlignment="1">
      <alignment/>
    </xf>
    <xf numFmtId="174" fontId="0" fillId="0" borderId="57" xfId="15" applyNumberFormat="1" applyFont="1" applyFill="1" applyBorder="1" applyAlignment="1">
      <alignment/>
    </xf>
    <xf numFmtId="176" fontId="1" fillId="0" borderId="12" xfId="15" applyNumberFormat="1" applyFont="1" applyBorder="1" applyAlignment="1">
      <alignment/>
    </xf>
    <xf numFmtId="43" fontId="2" fillId="0" borderId="9" xfId="15" applyFont="1" applyBorder="1" applyAlignment="1">
      <alignment horizontal="right"/>
    </xf>
    <xf numFmtId="180" fontId="0" fillId="0" borderId="0" xfId="0" applyNumberFormat="1" applyFont="1" applyFill="1" applyAlignment="1" applyProtection="1">
      <alignment horizontal="center"/>
      <protection/>
    </xf>
    <xf numFmtId="180" fontId="0" fillId="0" borderId="0" xfId="0" applyNumberFormat="1" applyFont="1" applyFill="1" applyBorder="1" applyAlignment="1" applyProtection="1">
      <alignment horizontal="center"/>
      <protection/>
    </xf>
    <xf numFmtId="180" fontId="0" fillId="0" borderId="0" xfId="0" applyNumberFormat="1" applyFont="1" applyFill="1" applyAlignment="1" applyProtection="1">
      <alignment/>
      <protection/>
    </xf>
    <xf numFmtId="180" fontId="0" fillId="0" borderId="0" xfId="0" applyNumberFormat="1" applyFont="1" applyFill="1" applyBorder="1" applyAlignment="1" applyProtection="1">
      <alignment/>
      <protection/>
    </xf>
    <xf numFmtId="37" fontId="0" fillId="0" borderId="0" xfId="0" applyNumberFormat="1" applyFont="1" applyFill="1" applyAlignment="1" applyProtection="1">
      <alignment horizontal="left"/>
      <protection/>
    </xf>
    <xf numFmtId="180" fontId="34" fillId="0" borderId="0" xfId="0" applyNumberFormat="1" applyFont="1" applyFill="1" applyAlignment="1" applyProtection="1">
      <alignment horizontal="left"/>
      <protection/>
    </xf>
    <xf numFmtId="180" fontId="35" fillId="0" borderId="0" xfId="0" applyNumberFormat="1" applyFont="1" applyFill="1" applyAlignment="1" applyProtection="1">
      <alignment horizontal="center"/>
      <protection/>
    </xf>
    <xf numFmtId="180" fontId="35" fillId="0" borderId="0" xfId="0" applyNumberFormat="1" applyFont="1" applyFill="1" applyBorder="1" applyAlignment="1" applyProtection="1">
      <alignment horizontal="center"/>
      <protection/>
    </xf>
    <xf numFmtId="176" fontId="0" fillId="0" borderId="8" xfId="15" applyNumberFormat="1" applyFont="1" applyFill="1" applyBorder="1" applyAlignment="1" applyProtection="1">
      <alignment/>
      <protection/>
    </xf>
    <xf numFmtId="43" fontId="0" fillId="0" borderId="0" xfId="15" applyFont="1" applyFill="1" applyBorder="1" applyAlignment="1" applyProtection="1">
      <alignment/>
      <protection/>
    </xf>
    <xf numFmtId="10" fontId="0" fillId="0" borderId="0" xfId="22"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37" fontId="0" fillId="0" borderId="0" xfId="0" applyNumberFormat="1" applyFont="1" applyFill="1" applyAlignment="1" applyProtection="1">
      <alignment/>
      <protection/>
    </xf>
    <xf numFmtId="181" fontId="0" fillId="0" borderId="0" xfId="0" applyNumberFormat="1" applyFont="1" applyFill="1" applyAlignment="1" applyProtection="1">
      <alignment/>
      <protection/>
    </xf>
    <xf numFmtId="182" fontId="0" fillId="0" borderId="0" xfId="0" applyNumberFormat="1" applyFont="1" applyFill="1" applyAlignment="1" applyProtection="1">
      <alignment/>
      <protection/>
    </xf>
    <xf numFmtId="176" fontId="0" fillId="0" borderId="5" xfId="15" applyNumberFormat="1" applyFont="1" applyFill="1" applyBorder="1" applyAlignment="1" applyProtection="1">
      <alignment/>
      <protection/>
    </xf>
    <xf numFmtId="176" fontId="0" fillId="0" borderId="12" xfId="15" applyNumberFormat="1" applyFont="1" applyFill="1" applyBorder="1" applyAlignment="1" applyProtection="1">
      <alignment/>
      <protection/>
    </xf>
    <xf numFmtId="184" fontId="0" fillId="0" borderId="0" xfId="0" applyNumberFormat="1" applyFont="1" applyFill="1" applyAlignment="1">
      <alignment/>
    </xf>
    <xf numFmtId="174" fontId="32" fillId="0" borderId="0" xfId="15" applyNumberFormat="1" applyFont="1" applyFill="1" applyAlignment="1" quotePrefix="1">
      <alignment horizontal="center"/>
    </xf>
    <xf numFmtId="174" fontId="32" fillId="0" borderId="0" xfId="15" applyNumberFormat="1" applyFont="1" applyFill="1" applyAlignment="1">
      <alignment horizontal="center"/>
    </xf>
    <xf numFmtId="179" fontId="32" fillId="0" borderId="9" xfId="15" applyNumberFormat="1" applyFont="1" applyFill="1" applyBorder="1" applyAlignment="1">
      <alignment/>
    </xf>
    <xf numFmtId="0" fontId="0" fillId="0" borderId="3" xfId="15" applyNumberFormat="1" applyFont="1" applyFill="1" applyBorder="1" applyAlignment="1">
      <alignment/>
    </xf>
    <xf numFmtId="174" fontId="0" fillId="0" borderId="4" xfId="15" applyNumberFormat="1" applyFont="1" applyFill="1" applyBorder="1" applyAlignment="1">
      <alignment/>
    </xf>
    <xf numFmtId="174" fontId="0" fillId="0" borderId="8" xfId="15" applyNumberFormat="1" applyFont="1" applyFill="1" applyBorder="1" applyAlignment="1">
      <alignment/>
    </xf>
    <xf numFmtId="174" fontId="35" fillId="0" borderId="7" xfId="21" applyNumberFormat="1" applyFont="1" applyFill="1" applyBorder="1" applyAlignment="1">
      <alignment/>
    </xf>
    <xf numFmtId="174" fontId="32" fillId="0" borderId="7" xfId="15" applyNumberFormat="1" applyFont="1" applyFill="1" applyBorder="1" applyAlignment="1">
      <alignment/>
    </xf>
    <xf numFmtId="174" fontId="48" fillId="0" borderId="9" xfId="15" applyNumberFormat="1" applyFont="1" applyFill="1" applyBorder="1" applyAlignment="1">
      <alignment/>
    </xf>
    <xf numFmtId="10" fontId="0" fillId="0" borderId="9" xfId="22" applyNumberFormat="1" applyFont="1" applyFill="1" applyBorder="1" applyAlignment="1">
      <alignment/>
    </xf>
    <xf numFmtId="9" fontId="0" fillId="0" borderId="9" xfId="22" applyFont="1" applyFill="1" applyBorder="1" applyAlignment="1">
      <alignment/>
    </xf>
    <xf numFmtId="9" fontId="0" fillId="0" borderId="7" xfId="22" applyFont="1" applyFill="1" applyBorder="1" applyAlignment="1">
      <alignment/>
    </xf>
    <xf numFmtId="174" fontId="35" fillId="0" borderId="0" xfId="21" applyNumberFormat="1" applyFont="1" applyFill="1" applyAlignment="1">
      <alignment/>
    </xf>
    <xf numFmtId="176" fontId="32" fillId="0" borderId="0" xfId="15" applyNumberFormat="1" applyFont="1" applyFill="1" applyAlignment="1">
      <alignment horizontal="center"/>
    </xf>
    <xf numFmtId="43" fontId="0" fillId="0" borderId="0" xfId="15" applyFont="1" applyFill="1" applyAlignment="1" applyProtection="1">
      <alignment/>
      <protection/>
    </xf>
    <xf numFmtId="43" fontId="0" fillId="0" borderId="63" xfId="15" applyNumberFormat="1" applyFont="1" applyFill="1" applyBorder="1" applyAlignment="1" applyProtection="1">
      <alignment/>
      <protection/>
    </xf>
    <xf numFmtId="43" fontId="32" fillId="0" borderId="65" xfId="15" applyNumberFormat="1" applyFont="1" applyFill="1" applyBorder="1" applyAlignment="1" applyProtection="1">
      <alignment/>
      <protection/>
    </xf>
    <xf numFmtId="174" fontId="0" fillId="0" borderId="46" xfId="15" applyNumberFormat="1" applyFont="1" applyFill="1" applyBorder="1" applyAlignment="1">
      <alignment/>
    </xf>
    <xf numFmtId="174" fontId="0" fillId="0" borderId="2" xfId="15" applyNumberFormat="1" applyFont="1" applyFill="1" applyBorder="1" applyAlignment="1">
      <alignment/>
    </xf>
    <xf numFmtId="184" fontId="0" fillId="0" borderId="9" xfId="15" applyNumberFormat="1" applyFont="1" applyFill="1" applyBorder="1" applyAlignment="1">
      <alignment horizontal="center"/>
    </xf>
    <xf numFmtId="9" fontId="0" fillId="0" borderId="9" xfId="22" applyFont="1" applyFill="1" applyBorder="1" applyAlignment="1">
      <alignment horizontal="center"/>
    </xf>
    <xf numFmtId="192" fontId="0" fillId="0" borderId="0" xfId="15" applyNumberFormat="1" applyFont="1" applyFill="1" applyBorder="1" applyAlignment="1">
      <alignment/>
    </xf>
    <xf numFmtId="176" fontId="32" fillId="0" borderId="10" xfId="15" applyNumberFormat="1" applyFont="1" applyFill="1" applyBorder="1" applyAlignment="1">
      <alignment/>
    </xf>
    <xf numFmtId="176" fontId="0" fillId="0" borderId="10" xfId="15" applyNumberFormat="1" applyFont="1" applyFill="1" applyBorder="1" applyAlignment="1">
      <alignment/>
    </xf>
    <xf numFmtId="176" fontId="0" fillId="0" borderId="10" xfId="15" applyNumberFormat="1" applyFont="1" applyFill="1" applyBorder="1" applyAlignment="1">
      <alignment horizontal="center" vertical="justify"/>
    </xf>
    <xf numFmtId="174" fontId="0" fillId="0" borderId="2" xfId="15" applyNumberFormat="1" applyFont="1" applyFill="1" applyBorder="1" applyAlignment="1">
      <alignment horizontal="center"/>
    </xf>
    <xf numFmtId="176" fontId="0" fillId="0" borderId="2" xfId="15" applyNumberFormat="1" applyFont="1" applyFill="1" applyBorder="1" applyAlignment="1">
      <alignment horizontal="center"/>
    </xf>
    <xf numFmtId="176" fontId="0" fillId="0" borderId="3" xfId="15" applyNumberFormat="1" applyFont="1" applyFill="1" applyBorder="1" applyAlignment="1">
      <alignment/>
    </xf>
    <xf numFmtId="174" fontId="0" fillId="0" borderId="3" xfId="15" applyNumberFormat="1" applyFont="1" applyFill="1" applyBorder="1" applyAlignment="1">
      <alignment/>
    </xf>
    <xf numFmtId="174" fontId="0" fillId="0" borderId="3" xfId="15" applyNumberFormat="1" applyFont="1" applyFill="1" applyBorder="1" applyAlignment="1">
      <alignment horizontal="center"/>
    </xf>
    <xf numFmtId="174" fontId="0" fillId="0" borderId="10" xfId="15" applyNumberFormat="1" applyFont="1" applyFill="1" applyBorder="1" applyAlignment="1">
      <alignment horizontal="center"/>
    </xf>
    <xf numFmtId="174" fontId="0" fillId="0" borderId="3" xfId="15" applyNumberFormat="1" applyFont="1" applyFill="1" applyBorder="1" applyAlignment="1">
      <alignment/>
    </xf>
    <xf numFmtId="0" fontId="0" fillId="0" borderId="9" xfId="0" applyFont="1" applyFill="1" applyBorder="1" applyAlignment="1">
      <alignment/>
    </xf>
    <xf numFmtId="174" fontId="0" fillId="0" borderId="9" xfId="0" applyNumberFormat="1" applyFont="1" applyFill="1" applyBorder="1" applyAlignment="1">
      <alignment/>
    </xf>
    <xf numFmtId="174" fontId="0" fillId="0" borderId="12" xfId="15" applyNumberFormat="1" applyFont="1" applyFill="1" applyBorder="1" applyAlignment="1">
      <alignment/>
    </xf>
    <xf numFmtId="176" fontId="0" fillId="0" borderId="9" xfId="15" applyNumberFormat="1" applyFont="1" applyFill="1" applyBorder="1" applyAlignment="1">
      <alignment horizontal="center"/>
    </xf>
    <xf numFmtId="0" fontId="0" fillId="0" borderId="10" xfId="0" applyFont="1" applyFill="1" applyBorder="1" applyAlignment="1">
      <alignment/>
    </xf>
    <xf numFmtId="10" fontId="0" fillId="0" borderId="10" xfId="22" applyNumberFormat="1" applyFont="1" applyFill="1" applyBorder="1" applyAlignment="1">
      <alignment/>
    </xf>
    <xf numFmtId="0" fontId="0" fillId="0" borderId="3" xfId="0" applyFont="1" applyFill="1" applyBorder="1" applyAlignment="1">
      <alignment/>
    </xf>
    <xf numFmtId="177" fontId="0" fillId="0" borderId="0" xfId="0" applyNumberFormat="1" applyFont="1" applyFill="1" applyAlignment="1">
      <alignment/>
    </xf>
    <xf numFmtId="174" fontId="0" fillId="0" borderId="3" xfId="22" applyNumberFormat="1" applyFont="1" applyFill="1" applyBorder="1" applyAlignment="1">
      <alignment/>
    </xf>
    <xf numFmtId="0" fontId="0" fillId="0" borderId="83" xfId="0" applyFont="1" applyFill="1" applyBorder="1" applyAlignment="1">
      <alignment/>
    </xf>
    <xf numFmtId="174" fontId="0" fillId="0" borderId="84" xfId="0" applyNumberFormat="1" applyFont="1" applyFill="1" applyBorder="1" applyAlignment="1">
      <alignment/>
    </xf>
    <xf numFmtId="174" fontId="0" fillId="0" borderId="85" xfId="0" applyNumberFormat="1" applyFont="1" applyFill="1" applyBorder="1" applyAlignment="1">
      <alignment/>
    </xf>
    <xf numFmtId="0" fontId="0" fillId="0" borderId="55" xfId="0" applyFont="1" applyFill="1" applyBorder="1" applyAlignment="1">
      <alignment/>
    </xf>
    <xf numFmtId="174" fontId="0" fillId="0" borderId="23" xfId="0" applyNumberFormat="1" applyFont="1" applyFill="1" applyBorder="1" applyAlignment="1">
      <alignment/>
    </xf>
    <xf numFmtId="174" fontId="0" fillId="0" borderId="86" xfId="0" applyNumberFormat="1" applyFont="1" applyFill="1" applyBorder="1" applyAlignment="1">
      <alignment/>
    </xf>
    <xf numFmtId="0" fontId="0" fillId="0" borderId="87" xfId="0" applyFont="1" applyFill="1" applyBorder="1" applyAlignment="1">
      <alignment/>
    </xf>
    <xf numFmtId="174" fontId="0" fillId="0" borderId="88" xfId="0" applyNumberFormat="1" applyFont="1" applyFill="1" applyBorder="1" applyAlignment="1">
      <alignment/>
    </xf>
    <xf numFmtId="174" fontId="0" fillId="0" borderId="89" xfId="0" applyNumberFormat="1" applyFont="1" applyFill="1" applyBorder="1" applyAlignment="1">
      <alignment/>
    </xf>
    <xf numFmtId="174" fontId="0" fillId="0" borderId="43" xfId="0" applyNumberFormat="1" applyFont="1" applyFill="1" applyBorder="1" applyAlignment="1">
      <alignment/>
    </xf>
    <xf numFmtId="174" fontId="0" fillId="0" borderId="12" xfId="0" applyNumberFormat="1" applyFont="1" applyFill="1" applyBorder="1" applyAlignment="1">
      <alignment/>
    </xf>
    <xf numFmtId="43" fontId="0" fillId="0" borderId="2" xfId="15" applyFont="1" applyFill="1" applyBorder="1" applyAlignment="1">
      <alignment/>
    </xf>
    <xf numFmtId="176" fontId="42" fillId="0" borderId="47" xfId="15" applyNumberFormat="1" applyFont="1" applyFill="1" applyBorder="1" applyAlignment="1">
      <alignment horizontal="center"/>
    </xf>
    <xf numFmtId="176" fontId="42" fillId="0" borderId="77" xfId="15" applyNumberFormat="1" applyFont="1" applyFill="1" applyBorder="1" applyAlignment="1">
      <alignment horizontal="center"/>
    </xf>
    <xf numFmtId="176" fontId="42" fillId="0" borderId="76" xfId="15" applyNumberFormat="1" applyFont="1" applyFill="1" applyBorder="1" applyAlignment="1">
      <alignment horizontal="center"/>
    </xf>
    <xf numFmtId="176" fontId="42" fillId="0" borderId="78" xfId="15" applyNumberFormat="1" applyFont="1" applyFill="1" applyBorder="1" applyAlignment="1">
      <alignment horizontal="center"/>
    </xf>
    <xf numFmtId="176" fontId="43" fillId="0" borderId="90" xfId="15" applyNumberFormat="1" applyFont="1" applyFill="1" applyBorder="1" applyAlignment="1">
      <alignment/>
    </xf>
    <xf numFmtId="176" fontId="43" fillId="0" borderId="9" xfId="15" applyNumberFormat="1" applyFont="1" applyFill="1" applyBorder="1" applyAlignment="1">
      <alignment/>
    </xf>
    <xf numFmtId="176" fontId="43" fillId="0" borderId="0" xfId="15" applyNumberFormat="1" applyFont="1" applyFill="1" applyBorder="1" applyAlignment="1">
      <alignment/>
    </xf>
    <xf numFmtId="176" fontId="43" fillId="0" borderId="18" xfId="15" applyNumberFormat="1" applyFont="1" applyFill="1" applyBorder="1" applyAlignment="1">
      <alignment/>
    </xf>
    <xf numFmtId="176" fontId="43" fillId="0" borderId="19" xfId="0" applyNumberFormat="1" applyFont="1" applyFill="1" applyBorder="1" applyAlignment="1">
      <alignment/>
    </xf>
    <xf numFmtId="176" fontId="43" fillId="0" borderId="20" xfId="0" applyNumberFormat="1" applyFont="1" applyFill="1" applyBorder="1" applyAlignment="1">
      <alignment/>
    </xf>
    <xf numFmtId="0" fontId="43" fillId="0" borderId="21" xfId="0" applyFont="1" applyFill="1" applyBorder="1" applyAlignment="1">
      <alignment/>
    </xf>
    <xf numFmtId="0" fontId="42" fillId="0" borderId="0" xfId="0" applyFont="1" applyFill="1" applyAlignment="1">
      <alignment/>
    </xf>
    <xf numFmtId="176" fontId="42" fillId="0" borderId="0" xfId="15" applyNumberFormat="1" applyFont="1" applyFill="1" applyAlignment="1">
      <alignment/>
    </xf>
    <xf numFmtId="176" fontId="42" fillId="0" borderId="2" xfId="15" applyNumberFormat="1" applyFont="1" applyFill="1" applyBorder="1" applyAlignment="1">
      <alignment/>
    </xf>
    <xf numFmtId="176" fontId="35" fillId="0" borderId="2" xfId="21" applyNumberFormat="1" applyFont="1" applyFill="1" applyBorder="1" applyAlignment="1">
      <alignment/>
    </xf>
    <xf numFmtId="176" fontId="42" fillId="0" borderId="6" xfId="15" applyNumberFormat="1" applyFont="1" applyFill="1" applyBorder="1" applyAlignment="1">
      <alignment/>
    </xf>
    <xf numFmtId="176" fontId="35" fillId="0" borderId="0" xfId="21" applyNumberFormat="1" applyFont="1" applyFill="1" applyAlignment="1">
      <alignment/>
    </xf>
    <xf numFmtId="43" fontId="0" fillId="0" borderId="0" xfId="0" applyNumberFormat="1" applyFont="1" applyFill="1" applyBorder="1" applyAlignment="1" quotePrefix="1">
      <alignment/>
    </xf>
    <xf numFmtId="0" fontId="49" fillId="0" borderId="0" xfId="0" applyFont="1" applyAlignment="1">
      <alignment/>
    </xf>
    <xf numFmtId="43" fontId="0" fillId="0" borderId="0" xfId="15" applyFont="1" applyFill="1" applyBorder="1" applyAlignment="1" quotePrefix="1">
      <alignment/>
    </xf>
    <xf numFmtId="0" fontId="0" fillId="0" borderId="0" xfId="0" applyFont="1" applyAlignment="1" quotePrefix="1">
      <alignment horizontal="right"/>
    </xf>
    <xf numFmtId="43" fontId="0" fillId="0" borderId="0" xfId="0" applyNumberFormat="1" applyFont="1" applyAlignment="1" quotePrefix="1">
      <alignment/>
    </xf>
    <xf numFmtId="43" fontId="0" fillId="7" borderId="8" xfId="15" applyNumberFormat="1" applyFont="1" applyFill="1" applyBorder="1" applyAlignment="1" quotePrefix="1">
      <alignment/>
    </xf>
    <xf numFmtId="43" fontId="0" fillId="0" borderId="8" xfId="15" applyNumberFormat="1" applyFont="1" applyFill="1" applyBorder="1" applyAlignment="1" quotePrefix="1">
      <alignment/>
    </xf>
    <xf numFmtId="0" fontId="32" fillId="0" borderId="0" xfId="0" applyFont="1" applyAlignment="1" quotePrefix="1">
      <alignment horizontal="center"/>
    </xf>
    <xf numFmtId="43" fontId="0" fillId="0" borderId="0" xfId="15" applyFont="1" applyFill="1" applyAlignment="1" quotePrefix="1">
      <alignment/>
    </xf>
    <xf numFmtId="43" fontId="0" fillId="0" borderId="0" xfId="15" applyFont="1" applyAlignment="1" quotePrefix="1">
      <alignment/>
    </xf>
    <xf numFmtId="43" fontId="33" fillId="0" borderId="0" xfId="15" applyFont="1" applyAlignment="1">
      <alignment horizontal="left"/>
    </xf>
    <xf numFmtId="39" fontId="0" fillId="0" borderId="0" xfId="0" applyNumberFormat="1" applyFont="1" applyAlignment="1">
      <alignment/>
    </xf>
    <xf numFmtId="39" fontId="0" fillId="0" borderId="12" xfId="0" applyNumberFormat="1" applyFont="1" applyBorder="1" applyAlignment="1">
      <alignment/>
    </xf>
    <xf numFmtId="190" fontId="0" fillId="0" borderId="0" xfId="0" applyNumberFormat="1" applyFont="1" applyFill="1" applyAlignment="1" applyProtection="1" quotePrefix="1">
      <alignment horizontal="left"/>
      <protection/>
    </xf>
    <xf numFmtId="176" fontId="0" fillId="0" borderId="0" xfId="15" applyNumberFormat="1" applyFont="1" applyFill="1" applyAlignment="1" quotePrefix="1">
      <alignment/>
    </xf>
    <xf numFmtId="174" fontId="0" fillId="0" borderId="0" xfId="15" applyNumberFormat="1" applyFont="1" applyFill="1" applyAlignment="1">
      <alignment horizontal="center"/>
    </xf>
    <xf numFmtId="0" fontId="0" fillId="0" borderId="0" xfId="0" applyNumberFormat="1" applyFont="1" applyFill="1" applyAlignment="1">
      <alignment horizontal="center"/>
    </xf>
    <xf numFmtId="0" fontId="0" fillId="0" borderId="0" xfId="0" applyFont="1" applyFill="1" applyAlignment="1" quotePrefix="1">
      <alignment horizontal="center"/>
    </xf>
    <xf numFmtId="39" fontId="0" fillId="0" borderId="0" xfId="0" applyNumberFormat="1" applyFont="1" applyFill="1" applyAlignment="1">
      <alignment horizontal="center"/>
    </xf>
    <xf numFmtId="174" fontId="0" fillId="0" borderId="9" xfId="15" applyNumberFormat="1" applyFont="1" applyFill="1" applyBorder="1" applyAlignment="1">
      <alignment horizontal="center"/>
    </xf>
    <xf numFmtId="174" fontId="0" fillId="0" borderId="7" xfId="15" applyNumberFormat="1" applyFont="1" applyFill="1" applyBorder="1" applyAlignment="1">
      <alignment horizontal="center"/>
    </xf>
    <xf numFmtId="201" fontId="0" fillId="0" borderId="9" xfId="15" applyNumberFormat="1" applyFont="1" applyFill="1" applyBorder="1" applyAlignment="1">
      <alignment/>
    </xf>
    <xf numFmtId="176" fontId="0" fillId="0" borderId="0" xfId="15" applyNumberFormat="1" applyFont="1" applyFill="1" applyAlignment="1" applyProtection="1">
      <alignment horizontal="center"/>
      <protection/>
    </xf>
    <xf numFmtId="176" fontId="0" fillId="0" borderId="0" xfId="15" applyNumberFormat="1" applyFont="1" applyFill="1" applyAlignment="1">
      <alignment horizontal="center"/>
    </xf>
    <xf numFmtId="174" fontId="1" fillId="0" borderId="0" xfId="15" applyNumberFormat="1" applyFont="1" applyBorder="1" applyAlignment="1">
      <alignment horizontal="center"/>
    </xf>
    <xf numFmtId="43" fontId="27" fillId="0" borderId="9" xfId="15" applyFont="1" applyBorder="1" applyAlignment="1" applyProtection="1">
      <alignment/>
      <protection/>
    </xf>
    <xf numFmtId="37" fontId="50" fillId="0" borderId="0" xfId="0" applyNumberFormat="1" applyFont="1" applyBorder="1" applyAlignment="1" applyProtection="1">
      <alignment horizontal="center"/>
      <protection/>
    </xf>
    <xf numFmtId="202" fontId="1" fillId="0" borderId="0" xfId="0" applyNumberFormat="1" applyFont="1" applyAlignment="1">
      <alignment/>
    </xf>
    <xf numFmtId="202" fontId="1" fillId="0" borderId="12" xfId="0" applyNumberFormat="1" applyFont="1" applyBorder="1" applyAlignment="1">
      <alignment/>
    </xf>
    <xf numFmtId="37" fontId="51" fillId="0" borderId="0" xfId="0" applyNumberFormat="1" applyFont="1" applyAlignment="1" applyProtection="1">
      <alignment/>
      <protection/>
    </xf>
    <xf numFmtId="0" fontId="52" fillId="0" borderId="0" xfId="0" applyFont="1" applyAlignment="1">
      <alignment/>
    </xf>
    <xf numFmtId="43" fontId="23" fillId="0" borderId="0" xfId="15" applyFont="1" applyBorder="1" applyAlignment="1" applyProtection="1">
      <alignment/>
      <protection/>
    </xf>
    <xf numFmtId="43" fontId="20" fillId="0" borderId="0" xfId="0" applyNumberFormat="1" applyFont="1" applyAlignment="1">
      <alignment/>
    </xf>
    <xf numFmtId="202" fontId="20" fillId="0" borderId="0" xfId="0" applyNumberFormat="1" applyFont="1" applyBorder="1" applyAlignment="1">
      <alignment/>
    </xf>
    <xf numFmtId="202" fontId="20" fillId="0" borderId="0" xfId="0" applyNumberFormat="1" applyFont="1" applyAlignment="1">
      <alignment/>
    </xf>
    <xf numFmtId="202" fontId="20" fillId="0" borderId="5" xfId="0" applyNumberFormat="1" applyFont="1" applyBorder="1" applyAlignment="1">
      <alignment/>
    </xf>
    <xf numFmtId="0" fontId="20" fillId="0" borderId="0" xfId="0" applyFont="1" applyAlignment="1" quotePrefix="1">
      <alignment/>
    </xf>
    <xf numFmtId="202" fontId="20" fillId="0" borderId="12" xfId="0" applyNumberFormat="1" applyFont="1" applyBorder="1" applyAlignment="1">
      <alignment/>
    </xf>
    <xf numFmtId="0" fontId="53" fillId="0" borderId="0" xfId="0" applyFont="1" applyAlignment="1">
      <alignment/>
    </xf>
    <xf numFmtId="202" fontId="52" fillId="0" borderId="0" xfId="0" applyNumberFormat="1" applyFont="1" applyAlignment="1">
      <alignment horizontal="center"/>
    </xf>
    <xf numFmtId="202" fontId="20" fillId="0" borderId="8" xfId="0" applyNumberFormat="1" applyFont="1" applyBorder="1" applyAlignment="1">
      <alignment/>
    </xf>
    <xf numFmtId="202" fontId="0" fillId="0" borderId="9" xfId="15" applyNumberFormat="1" applyFont="1" applyFill="1" applyBorder="1" applyAlignment="1">
      <alignment/>
    </xf>
    <xf numFmtId="0" fontId="35" fillId="0" borderId="0" xfId="15" applyNumberFormat="1" applyFont="1" applyFill="1" applyAlignment="1">
      <alignment/>
    </xf>
    <xf numFmtId="0" fontId="0" fillId="0" borderId="0" xfId="15" applyNumberFormat="1" applyFont="1" applyFill="1" applyAlignment="1" quotePrefix="1">
      <alignment/>
    </xf>
    <xf numFmtId="39" fontId="0" fillId="0" borderId="0" xfId="15" applyNumberFormat="1" applyFont="1" applyFill="1" applyAlignment="1">
      <alignment/>
    </xf>
    <xf numFmtId="37" fontId="0" fillId="0" borderId="0" xfId="15" applyNumberFormat="1" applyFont="1" applyFill="1" applyAlignment="1">
      <alignment/>
    </xf>
    <xf numFmtId="202" fontId="0" fillId="0" borderId="0" xfId="15" applyNumberFormat="1" applyFont="1" applyFill="1" applyAlignment="1">
      <alignment/>
    </xf>
    <xf numFmtId="202" fontId="0" fillId="0" borderId="12" xfId="15" applyNumberFormat="1" applyFont="1" applyFill="1" applyBorder="1" applyAlignment="1">
      <alignment/>
    </xf>
    <xf numFmtId="202" fontId="0" fillId="0" borderId="5" xfId="15" applyNumberFormat="1" applyFont="1" applyFill="1" applyBorder="1" applyAlignment="1">
      <alignment/>
    </xf>
    <xf numFmtId="202" fontId="0" fillId="0" borderId="43" xfId="15" applyNumberFormat="1" applyFont="1" applyFill="1" applyBorder="1" applyAlignment="1">
      <alignment/>
    </xf>
    <xf numFmtId="202" fontId="0" fillId="0" borderId="31" xfId="15" applyNumberFormat="1" applyFont="1" applyFill="1" applyBorder="1" applyAlignment="1">
      <alignment/>
    </xf>
    <xf numFmtId="202" fontId="0" fillId="0" borderId="0" xfId="15" applyNumberFormat="1" applyFont="1" applyFill="1" applyAlignment="1">
      <alignment horizontal="center"/>
    </xf>
    <xf numFmtId="202" fontId="0" fillId="0" borderId="0" xfId="15" applyNumberFormat="1" applyFont="1" applyFill="1" applyAlignment="1">
      <alignment horizontal="right"/>
    </xf>
    <xf numFmtId="202" fontId="0" fillId="0" borderId="5" xfId="15" applyNumberFormat="1" applyFont="1" applyFill="1" applyBorder="1" applyAlignment="1">
      <alignment horizontal="right"/>
    </xf>
    <xf numFmtId="202" fontId="0" fillId="0" borderId="12" xfId="15" applyNumberFormat="1" applyFont="1" applyFill="1" applyBorder="1" applyAlignment="1">
      <alignment horizontal="right"/>
    </xf>
    <xf numFmtId="202" fontId="0" fillId="0" borderId="0" xfId="15" applyNumberFormat="1" applyFont="1" applyFill="1" applyBorder="1" applyAlignment="1">
      <alignment horizontal="right"/>
    </xf>
    <xf numFmtId="174" fontId="0" fillId="8" borderId="0" xfId="15" applyNumberFormat="1" applyFont="1" applyFill="1" applyBorder="1" applyAlignment="1">
      <alignment/>
    </xf>
    <xf numFmtId="174" fontId="0" fillId="8" borderId="11" xfId="15" applyNumberFormat="1" applyFont="1" applyFill="1" applyBorder="1" applyAlignment="1">
      <alignment/>
    </xf>
    <xf numFmtId="174" fontId="33" fillId="0" borderId="12" xfId="15" applyNumberFormat="1" applyFont="1" applyBorder="1" applyAlignment="1">
      <alignment/>
    </xf>
    <xf numFmtId="174" fontId="0" fillId="0" borderId="43" xfId="15" applyNumberFormat="1" applyFont="1" applyFill="1" applyBorder="1" applyAlignment="1">
      <alignment/>
    </xf>
    <xf numFmtId="39" fontId="39" fillId="0" borderId="0" xfId="15" applyNumberFormat="1" applyFont="1" applyAlignment="1">
      <alignment/>
    </xf>
    <xf numFmtId="39" fontId="1" fillId="0" borderId="0" xfId="0" applyNumberFormat="1" applyFont="1" applyAlignment="1">
      <alignment/>
    </xf>
    <xf numFmtId="39" fontId="1" fillId="0" borderId="0" xfId="0" applyNumberFormat="1" applyFont="1" applyBorder="1" applyAlignment="1">
      <alignment/>
    </xf>
    <xf numFmtId="174" fontId="1" fillId="0" borderId="52" xfId="15" applyNumberFormat="1" applyFont="1" applyBorder="1" applyAlignment="1">
      <alignment horizontal="center"/>
    </xf>
    <xf numFmtId="184" fontId="1" fillId="0" borderId="0" xfId="0" applyNumberFormat="1" applyFont="1" applyBorder="1" applyAlignment="1">
      <alignment/>
    </xf>
    <xf numFmtId="39" fontId="1" fillId="0" borderId="5" xfId="0" applyNumberFormat="1" applyFont="1" applyBorder="1" applyAlignment="1">
      <alignment/>
    </xf>
    <xf numFmtId="0" fontId="43" fillId="0" borderId="9" xfId="15" applyNumberFormat="1" applyFont="1" applyFill="1" applyBorder="1" applyAlignment="1">
      <alignment/>
    </xf>
    <xf numFmtId="176" fontId="1" fillId="0" borderId="0" xfId="0" applyNumberFormat="1" applyFont="1" applyFill="1" applyAlignment="1">
      <alignment/>
    </xf>
    <xf numFmtId="37" fontId="1" fillId="0" borderId="0" xfId="15" applyNumberFormat="1" applyFont="1" applyFill="1" applyAlignment="1">
      <alignment/>
    </xf>
    <xf numFmtId="37" fontId="1" fillId="0" borderId="0" xfId="0" applyNumberFormat="1" applyFont="1" applyFill="1" applyAlignment="1">
      <alignment/>
    </xf>
    <xf numFmtId="37" fontId="1" fillId="0" borderId="12" xfId="0" applyNumberFormat="1" applyFont="1" applyFill="1" applyBorder="1" applyAlignment="1">
      <alignment/>
    </xf>
    <xf numFmtId="0" fontId="0" fillId="0" borderId="84" xfId="0" applyFont="1" applyFill="1" applyBorder="1" applyAlignment="1">
      <alignment/>
    </xf>
    <xf numFmtId="176" fontId="42" fillId="0" borderId="0" xfId="0" applyNumberFormat="1" applyFont="1" applyFill="1" applyAlignment="1">
      <alignment/>
    </xf>
    <xf numFmtId="176" fontId="43" fillId="0" borderId="7" xfId="15" applyNumberFormat="1" applyFont="1" applyFill="1" applyBorder="1" applyAlignment="1">
      <alignment/>
    </xf>
    <xf numFmtId="0" fontId="10" fillId="0" borderId="0" xfId="0" applyFont="1" applyBorder="1" applyAlignment="1">
      <alignment/>
    </xf>
    <xf numFmtId="39" fontId="10" fillId="0" borderId="0" xfId="0" applyNumberFormat="1" applyFont="1" applyBorder="1" applyAlignment="1">
      <alignment horizontal="center"/>
    </xf>
    <xf numFmtId="39" fontId="1" fillId="0" borderId="4" xfId="0" applyNumberFormat="1" applyFont="1" applyBorder="1" applyAlignment="1">
      <alignment/>
    </xf>
    <xf numFmtId="39" fontId="1" fillId="0" borderId="6" xfId="0" applyNumberFormat="1" applyFont="1" applyBorder="1" applyAlignment="1">
      <alignment/>
    </xf>
    <xf numFmtId="176" fontId="43" fillId="0" borderId="10" xfId="15" applyNumberFormat="1" applyFont="1" applyFill="1" applyBorder="1" applyAlignment="1">
      <alignment/>
    </xf>
    <xf numFmtId="176" fontId="43" fillId="0" borderId="91" xfId="15" applyNumberFormat="1" applyFont="1" applyFill="1" applyBorder="1" applyAlignment="1">
      <alignment/>
    </xf>
    <xf numFmtId="176" fontId="43" fillId="0" borderId="15" xfId="15" applyNumberFormat="1" applyFont="1" applyFill="1" applyBorder="1" applyAlignment="1">
      <alignment/>
    </xf>
    <xf numFmtId="176" fontId="43" fillId="0" borderId="92" xfId="15" applyNumberFormat="1" applyFont="1" applyFill="1" applyBorder="1" applyAlignment="1">
      <alignment/>
    </xf>
    <xf numFmtId="174" fontId="32" fillId="5" borderId="9" xfId="15" applyNumberFormat="1" applyFont="1" applyFill="1" applyBorder="1" applyAlignment="1">
      <alignment/>
    </xf>
    <xf numFmtId="39" fontId="1" fillId="0" borderId="0" xfId="15" applyNumberFormat="1" applyFont="1" applyAlignment="1">
      <alignment/>
    </xf>
    <xf numFmtId="174" fontId="0" fillId="0" borderId="5" xfId="15" applyNumberFormat="1" applyFont="1" applyFill="1" applyBorder="1" applyAlignment="1">
      <alignment/>
    </xf>
    <xf numFmtId="174" fontId="0" fillId="5" borderId="60" xfId="15" applyNumberFormat="1" applyFont="1" applyFill="1" applyBorder="1" applyAlignment="1">
      <alignment/>
    </xf>
    <xf numFmtId="174" fontId="0" fillId="5" borderId="13" xfId="15" applyNumberFormat="1" applyFont="1" applyFill="1" applyBorder="1" applyAlignment="1">
      <alignment/>
    </xf>
    <xf numFmtId="174" fontId="0" fillId="5" borderId="0" xfId="15" applyNumberFormat="1" applyFont="1" applyFill="1" applyAlignment="1">
      <alignment/>
    </xf>
    <xf numFmtId="0" fontId="0" fillId="5" borderId="9" xfId="15" applyNumberFormat="1" applyFont="1" applyFill="1" applyBorder="1" applyAlignment="1">
      <alignment/>
    </xf>
    <xf numFmtId="174" fontId="0" fillId="5" borderId="9" xfId="15" applyNumberFormat="1" applyFont="1" applyFill="1" applyBorder="1" applyAlignment="1">
      <alignment/>
    </xf>
    <xf numFmtId="174" fontId="0" fillId="5" borderId="7" xfId="15" applyNumberFormat="1" applyFont="1" applyFill="1" applyBorder="1" applyAlignment="1">
      <alignment/>
    </xf>
    <xf numFmtId="39" fontId="2" fillId="0" borderId="6" xfId="0" applyNumberFormat="1" applyFont="1" applyBorder="1" applyAlignment="1">
      <alignment/>
    </xf>
    <xf numFmtId="39" fontId="2" fillId="0" borderId="3" xfId="0" applyNumberFormat="1" applyFont="1" applyBorder="1" applyAlignment="1">
      <alignment/>
    </xf>
    <xf numFmtId="174" fontId="32" fillId="8" borderId="13" xfId="15" applyNumberFormat="1" applyFont="1" applyFill="1" applyBorder="1" applyAlignment="1">
      <alignment/>
    </xf>
    <xf numFmtId="174" fontId="0" fillId="8" borderId="13" xfId="15" applyNumberFormat="1" applyFont="1" applyFill="1" applyBorder="1" applyAlignment="1">
      <alignment/>
    </xf>
    <xf numFmtId="174" fontId="32" fillId="8" borderId="7" xfId="15" applyNumberFormat="1" applyFont="1" applyFill="1" applyBorder="1" applyAlignment="1">
      <alignment/>
    </xf>
    <xf numFmtId="176" fontId="42" fillId="8" borderId="6" xfId="15" applyNumberFormat="1" applyFont="1" applyFill="1" applyBorder="1" applyAlignment="1">
      <alignment/>
    </xf>
    <xf numFmtId="174" fontId="0" fillId="8" borderId="9" xfId="15" applyNumberFormat="1" applyFont="1" applyFill="1" applyBorder="1" applyAlignment="1">
      <alignment/>
    </xf>
    <xf numFmtId="174" fontId="0" fillId="8" borderId="7" xfId="15" applyNumberFormat="1" applyFont="1" applyFill="1" applyBorder="1" applyAlignment="1">
      <alignment/>
    </xf>
    <xf numFmtId="174" fontId="32" fillId="8" borderId="9" xfId="15" applyNumberFormat="1" applyFont="1" applyFill="1" applyBorder="1" applyAlignment="1">
      <alignment/>
    </xf>
    <xf numFmtId="39" fontId="1" fillId="0" borderId="12" xfId="0" applyNumberFormat="1" applyFont="1" applyBorder="1" applyAlignment="1">
      <alignment/>
    </xf>
    <xf numFmtId="39" fontId="1" fillId="0" borderId="1" xfId="0" applyNumberFormat="1" applyFont="1" applyBorder="1" applyAlignment="1">
      <alignment/>
    </xf>
    <xf numFmtId="174" fontId="1" fillId="0" borderId="3" xfId="0" applyNumberFormat="1" applyFont="1" applyBorder="1" applyAlignment="1">
      <alignment horizontal="center"/>
    </xf>
    <xf numFmtId="39" fontId="1" fillId="0" borderId="3" xfId="0" applyNumberFormat="1" applyFont="1" applyBorder="1" applyAlignment="1">
      <alignment/>
    </xf>
    <xf numFmtId="9" fontId="1" fillId="0" borderId="0" xfId="0" applyNumberFormat="1" applyFont="1" applyBorder="1" applyAlignment="1">
      <alignment horizontal="center"/>
    </xf>
    <xf numFmtId="9" fontId="1" fillId="0" borderId="23" xfId="0" applyNumberFormat="1" applyFont="1" applyBorder="1" applyAlignment="1">
      <alignment horizontal="center"/>
    </xf>
    <xf numFmtId="174" fontId="1" fillId="0" borderId="23" xfId="0" applyNumberFormat="1" applyFont="1" applyBorder="1" applyAlignment="1">
      <alignment horizontal="center"/>
    </xf>
    <xf numFmtId="39" fontId="1" fillId="0" borderId="23" xfId="0" applyNumberFormat="1" applyFont="1" applyBorder="1" applyAlignment="1">
      <alignment/>
    </xf>
    <xf numFmtId="39" fontId="1" fillId="0" borderId="23" xfId="0" applyNumberFormat="1" applyFont="1" applyBorder="1" applyAlignment="1">
      <alignment horizontal="right"/>
    </xf>
    <xf numFmtId="39" fontId="1" fillId="0" borderId="66" xfId="0" applyNumberFormat="1" applyFont="1" applyBorder="1" applyAlignment="1">
      <alignment/>
    </xf>
    <xf numFmtId="39" fontId="1" fillId="0" borderId="13" xfId="0" applyNumberFormat="1" applyFont="1" applyBorder="1" applyAlignment="1">
      <alignment/>
    </xf>
    <xf numFmtId="9" fontId="1" fillId="0" borderId="10" xfId="0" applyNumberFormat="1" applyFont="1" applyBorder="1" applyAlignment="1">
      <alignment/>
    </xf>
    <xf numFmtId="9" fontId="1" fillId="0" borderId="3" xfId="0" applyNumberFormat="1" applyFont="1" applyBorder="1" applyAlignment="1">
      <alignment horizontal="center"/>
    </xf>
    <xf numFmtId="39" fontId="1" fillId="0" borderId="10" xfId="0" applyNumberFormat="1" applyFont="1" applyBorder="1" applyAlignment="1">
      <alignment/>
    </xf>
    <xf numFmtId="39" fontId="1" fillId="0" borderId="9" xfId="0" applyNumberFormat="1" applyFont="1" applyBorder="1" applyAlignment="1">
      <alignment/>
    </xf>
    <xf numFmtId="174" fontId="1" fillId="0" borderId="25" xfId="15" applyNumberFormat="1" applyFont="1" applyBorder="1" applyAlignment="1">
      <alignment horizontal="centerContinuous" vertical="center"/>
    </xf>
    <xf numFmtId="0" fontId="1" fillId="0" borderId="0" xfId="0" applyFont="1" applyBorder="1" applyAlignment="1">
      <alignment horizontal="right"/>
    </xf>
    <xf numFmtId="174" fontId="1" fillId="0" borderId="74" xfId="15" applyNumberFormat="1" applyFont="1" applyBorder="1" applyAlignment="1">
      <alignment/>
    </xf>
    <xf numFmtId="174" fontId="1" fillId="0" borderId="75" xfId="15" applyNumberFormat="1" applyFont="1" applyBorder="1" applyAlignment="1">
      <alignment/>
    </xf>
    <xf numFmtId="10" fontId="1" fillId="0" borderId="23" xfId="0" applyNumberFormat="1" applyFont="1" applyBorder="1" applyAlignment="1">
      <alignment horizontal="center"/>
    </xf>
    <xf numFmtId="10" fontId="1" fillId="0" borderId="0" xfId="0" applyNumberFormat="1" applyFont="1" applyBorder="1" applyAlignment="1">
      <alignment horizontal="center"/>
    </xf>
    <xf numFmtId="39" fontId="1" fillId="0" borderId="43" xfId="0" applyNumberFormat="1" applyFont="1" applyBorder="1" applyAlignment="1">
      <alignment/>
    </xf>
    <xf numFmtId="180" fontId="0" fillId="0" borderId="0" xfId="0" applyNumberFormat="1" applyFont="1" applyFill="1" applyAlignment="1" applyProtection="1" quotePrefix="1">
      <alignment horizontal="center"/>
      <protection/>
    </xf>
    <xf numFmtId="176" fontId="0" fillId="0" borderId="0" xfId="15" applyNumberFormat="1" applyFont="1" applyFill="1" applyAlignment="1" quotePrefix="1">
      <alignment horizontal="center"/>
    </xf>
    <xf numFmtId="174" fontId="0" fillId="0" borderId="9" xfId="15" applyNumberFormat="1" applyFont="1" applyFill="1" applyBorder="1" applyAlignment="1" quotePrefix="1">
      <alignment horizontal="center"/>
    </xf>
    <xf numFmtId="39" fontId="0" fillId="0" borderId="0" xfId="0" applyNumberFormat="1" applyFont="1" applyFill="1" applyAlignment="1" quotePrefix="1">
      <alignment horizontal="center"/>
    </xf>
    <xf numFmtId="174" fontId="0" fillId="0" borderId="0" xfId="15" applyNumberFormat="1" applyFont="1" applyFill="1" applyAlignment="1" quotePrefix="1">
      <alignment horizontal="center"/>
    </xf>
    <xf numFmtId="174" fontId="0" fillId="0" borderId="7" xfId="15" applyNumberFormat="1" applyFont="1" applyFill="1" applyBorder="1" applyAlignment="1" quotePrefix="1">
      <alignment horizontal="center"/>
    </xf>
    <xf numFmtId="174" fontId="0" fillId="0" borderId="10" xfId="15" applyNumberFormat="1" applyFont="1" applyFill="1" applyBorder="1" applyAlignment="1">
      <alignment/>
    </xf>
    <xf numFmtId="0" fontId="0" fillId="0" borderId="10" xfId="15" applyNumberFormat="1" applyFont="1" applyFill="1" applyBorder="1" applyAlignment="1">
      <alignment/>
    </xf>
    <xf numFmtId="174" fontId="0" fillId="0" borderId="22" xfId="15" applyNumberFormat="1" applyFont="1" applyFill="1" applyBorder="1" applyAlignment="1">
      <alignment/>
    </xf>
    <xf numFmtId="174" fontId="0" fillId="0" borderId="7" xfId="15" applyNumberFormat="1" applyFont="1" applyFill="1" applyBorder="1" applyAlignment="1" quotePrefix="1">
      <alignment/>
    </xf>
    <xf numFmtId="174" fontId="0" fillId="0" borderId="0" xfId="15" applyNumberFormat="1" applyFont="1" applyFill="1" applyAlignment="1" quotePrefix="1">
      <alignment/>
    </xf>
    <xf numFmtId="174" fontId="32" fillId="0" borderId="10" xfId="15" applyNumberFormat="1" applyFont="1" applyFill="1" applyBorder="1" applyAlignment="1">
      <alignment/>
    </xf>
    <xf numFmtId="174" fontId="0" fillId="0" borderId="82" xfId="15" applyNumberFormat="1" applyFont="1" applyFill="1" applyBorder="1" applyAlignment="1">
      <alignment/>
    </xf>
    <xf numFmtId="174" fontId="0" fillId="0" borderId="93" xfId="15" applyNumberFormat="1" applyFont="1" applyFill="1" applyBorder="1" applyAlignment="1">
      <alignment/>
    </xf>
    <xf numFmtId="0" fontId="0" fillId="0" borderId="82" xfId="15" applyNumberFormat="1" applyFont="1" applyFill="1" applyBorder="1" applyAlignment="1">
      <alignment/>
    </xf>
    <xf numFmtId="174" fontId="0" fillId="0" borderId="94" xfId="15" applyNumberFormat="1" applyFont="1" applyFill="1" applyBorder="1" applyAlignment="1">
      <alignment/>
    </xf>
    <xf numFmtId="174" fontId="32" fillId="0" borderId="82" xfId="15" applyNumberFormat="1" applyFont="1" applyFill="1" applyBorder="1" applyAlignment="1">
      <alignment/>
    </xf>
    <xf numFmtId="174" fontId="0" fillId="0" borderId="62" xfId="15" applyNumberFormat="1" applyFont="1" applyFill="1" applyBorder="1" applyAlignment="1">
      <alignment/>
    </xf>
    <xf numFmtId="174" fontId="32" fillId="0" borderId="62" xfId="15" applyNumberFormat="1" applyFont="1" applyFill="1" applyBorder="1" applyAlignment="1">
      <alignment/>
    </xf>
    <xf numFmtId="178" fontId="0" fillId="0" borderId="2" xfId="15" applyNumberFormat="1" applyFont="1" applyFill="1" applyBorder="1" applyAlignment="1">
      <alignment/>
    </xf>
    <xf numFmtId="9" fontId="0" fillId="0" borderId="7" xfId="15" applyNumberFormat="1" applyFont="1" applyFill="1" applyBorder="1" applyAlignment="1">
      <alignment horizontal="center"/>
    </xf>
    <xf numFmtId="9" fontId="0" fillId="0" borderId="7" xfId="15" applyNumberFormat="1" applyFont="1" applyFill="1" applyBorder="1" applyAlignment="1" quotePrefix="1">
      <alignment horizontal="center"/>
    </xf>
    <xf numFmtId="202" fontId="1" fillId="0" borderId="0" xfId="0" applyNumberFormat="1" applyFont="1" applyBorder="1" applyAlignment="1">
      <alignment/>
    </xf>
    <xf numFmtId="202" fontId="20" fillId="0" borderId="0" xfId="0" applyNumberFormat="1" applyFont="1" applyAlignment="1" quotePrefix="1">
      <alignment/>
    </xf>
    <xf numFmtId="202" fontId="52" fillId="0" borderId="0" xfId="0" applyNumberFormat="1" applyFont="1" applyBorder="1" applyAlignment="1">
      <alignment horizontal="center"/>
    </xf>
    <xf numFmtId="0" fontId="20" fillId="0" borderId="0" xfId="0" applyFont="1" applyBorder="1" applyAlignment="1">
      <alignment/>
    </xf>
    <xf numFmtId="39" fontId="20" fillId="0" borderId="0" xfId="0" applyNumberFormat="1" applyFont="1" applyAlignment="1">
      <alignment/>
    </xf>
    <xf numFmtId="39" fontId="55" fillId="0" borderId="12" xfId="0" applyNumberFormat="1" applyFont="1" applyBorder="1" applyAlignment="1">
      <alignment/>
    </xf>
    <xf numFmtId="43" fontId="56" fillId="0" borderId="12" xfId="0" applyNumberFormat="1" applyFont="1" applyBorder="1" applyAlignment="1">
      <alignment/>
    </xf>
    <xf numFmtId="39" fontId="55" fillId="0" borderId="0" xfId="0" applyNumberFormat="1" applyFont="1" applyBorder="1" applyAlignment="1">
      <alignment/>
    </xf>
    <xf numFmtId="0" fontId="56" fillId="0" borderId="0" xfId="0" applyFont="1" applyBorder="1" applyAlignment="1">
      <alignment/>
    </xf>
    <xf numFmtId="43" fontId="56" fillId="0" borderId="0" xfId="0" applyNumberFormat="1" applyFont="1" applyBorder="1" applyAlignment="1">
      <alignment/>
    </xf>
    <xf numFmtId="39" fontId="56" fillId="0" borderId="0" xfId="0" applyNumberFormat="1" applyFont="1" applyBorder="1" applyAlignment="1">
      <alignment/>
    </xf>
    <xf numFmtId="39" fontId="56" fillId="0" borderId="12" xfId="0" applyNumberFormat="1" applyFont="1" applyBorder="1" applyAlignment="1">
      <alignment/>
    </xf>
    <xf numFmtId="0" fontId="20" fillId="0" borderId="5" xfId="0" applyFont="1" applyBorder="1" applyAlignment="1">
      <alignment/>
    </xf>
    <xf numFmtId="202" fontId="20" fillId="0" borderId="1" xfId="0" applyNumberFormat="1" applyFont="1" applyBorder="1" applyAlignment="1">
      <alignment/>
    </xf>
    <xf numFmtId="0" fontId="54" fillId="0" borderId="0" xfId="0" applyFont="1" applyBorder="1" applyAlignment="1">
      <alignment/>
    </xf>
    <xf numFmtId="0" fontId="55" fillId="0" borderId="0" xfId="0" applyFont="1" applyBorder="1" applyAlignment="1">
      <alignment/>
    </xf>
    <xf numFmtId="37" fontId="55" fillId="0" borderId="0" xfId="0" applyNumberFormat="1" applyFont="1" applyBorder="1" applyAlignment="1">
      <alignment/>
    </xf>
    <xf numFmtId="37" fontId="55" fillId="0" borderId="12" xfId="0" applyNumberFormat="1" applyFont="1" applyBorder="1" applyAlignment="1">
      <alignment/>
    </xf>
    <xf numFmtId="37" fontId="54" fillId="0" borderId="0" xfId="0" applyNumberFormat="1" applyFont="1" applyBorder="1" applyAlignment="1">
      <alignment/>
    </xf>
    <xf numFmtId="0" fontId="10" fillId="0" borderId="4" xfId="0" applyFont="1" applyBorder="1" applyAlignment="1">
      <alignment/>
    </xf>
    <xf numFmtId="0" fontId="10" fillId="0" borderId="23" xfId="0" applyFont="1" applyBorder="1" applyAlignment="1">
      <alignment/>
    </xf>
    <xf numFmtId="0" fontId="54" fillId="0" borderId="4" xfId="0" applyFont="1" applyBorder="1" applyAlignment="1">
      <alignment/>
    </xf>
    <xf numFmtId="0" fontId="55" fillId="0" borderId="5" xfId="0" applyFont="1" applyBorder="1" applyAlignment="1">
      <alignment/>
    </xf>
    <xf numFmtId="0" fontId="54" fillId="0" borderId="23" xfId="0" applyFont="1" applyBorder="1" applyAlignment="1">
      <alignment/>
    </xf>
    <xf numFmtId="0" fontId="54" fillId="0" borderId="0" xfId="0" applyFont="1" applyBorder="1" applyAlignment="1">
      <alignment horizontal="center"/>
    </xf>
    <xf numFmtId="0" fontId="55" fillId="0" borderId="23" xfId="0" applyFont="1" applyBorder="1" applyAlignment="1">
      <alignment/>
    </xf>
    <xf numFmtId="0" fontId="55" fillId="0" borderId="23" xfId="0" applyFont="1" applyBorder="1" applyAlignment="1" quotePrefix="1">
      <alignment/>
    </xf>
    <xf numFmtId="39" fontId="55" fillId="0" borderId="5" xfId="0" applyNumberFormat="1" applyFont="1" applyBorder="1" applyAlignment="1">
      <alignment/>
    </xf>
    <xf numFmtId="0" fontId="55" fillId="0" borderId="22" xfId="0" applyFont="1" applyBorder="1" applyAlignment="1">
      <alignment/>
    </xf>
    <xf numFmtId="0" fontId="55" fillId="0" borderId="11" xfId="0" applyFont="1" applyBorder="1" applyAlignment="1">
      <alignment/>
    </xf>
    <xf numFmtId="43" fontId="1" fillId="0" borderId="11" xfId="0" applyNumberFormat="1" applyFont="1" applyBorder="1" applyAlignment="1">
      <alignment/>
    </xf>
    <xf numFmtId="43" fontId="1" fillId="0" borderId="24" xfId="0" applyNumberFormat="1" applyFont="1" applyBorder="1" applyAlignment="1">
      <alignment/>
    </xf>
    <xf numFmtId="0" fontId="56" fillId="0" borderId="5" xfId="0" applyFont="1" applyBorder="1" applyAlignment="1">
      <alignment/>
    </xf>
    <xf numFmtId="0" fontId="57" fillId="0" borderId="0" xfId="0" applyFont="1" applyBorder="1" applyAlignment="1">
      <alignment horizontal="center"/>
    </xf>
    <xf numFmtId="39" fontId="0" fillId="0" borderId="11" xfId="0" applyNumberFormat="1" applyFont="1" applyBorder="1" applyAlignment="1">
      <alignment/>
    </xf>
    <xf numFmtId="39" fontId="57" fillId="0" borderId="0" xfId="0" applyNumberFormat="1" applyFont="1" applyBorder="1" applyAlignment="1">
      <alignment horizontal="center"/>
    </xf>
    <xf numFmtId="39" fontId="56" fillId="0" borderId="0" xfId="0" applyNumberFormat="1" applyFont="1" applyBorder="1" applyAlignment="1">
      <alignment horizontal="right"/>
    </xf>
    <xf numFmtId="0" fontId="56" fillId="0" borderId="23" xfId="0" applyFont="1" applyBorder="1" applyAlignment="1">
      <alignment/>
    </xf>
    <xf numFmtId="0" fontId="35" fillId="0" borderId="23" xfId="0" applyFont="1" applyBorder="1" applyAlignment="1">
      <alignment/>
    </xf>
    <xf numFmtId="39" fontId="0" fillId="0" borderId="0" xfId="0" applyNumberFormat="1" applyFont="1" applyBorder="1" applyAlignment="1">
      <alignment/>
    </xf>
    <xf numFmtId="39" fontId="0" fillId="0" borderId="1" xfId="0" applyNumberFormat="1" applyFont="1" applyBorder="1" applyAlignment="1">
      <alignment/>
    </xf>
    <xf numFmtId="0" fontId="0" fillId="0" borderId="0" xfId="0" applyFont="1" applyFill="1" applyBorder="1" applyAlignment="1">
      <alignment horizontal="center"/>
    </xf>
    <xf numFmtId="10" fontId="0" fillId="0" borderId="0" xfId="15" applyNumberFormat="1" applyFont="1" applyFill="1" applyBorder="1" applyAlignment="1">
      <alignment/>
    </xf>
    <xf numFmtId="0" fontId="35" fillId="0" borderId="0" xfId="0" applyFont="1" applyFill="1" applyBorder="1" applyAlignment="1">
      <alignment horizontal="center"/>
    </xf>
    <xf numFmtId="43" fontId="0" fillId="0" borderId="12" xfId="15" applyFont="1" applyFill="1" applyBorder="1" applyAlignment="1">
      <alignment/>
    </xf>
    <xf numFmtId="39" fontId="0" fillId="0" borderId="12" xfId="0" applyNumberFormat="1" applyFont="1" applyFill="1" applyBorder="1" applyAlignment="1">
      <alignment/>
    </xf>
    <xf numFmtId="0" fontId="34" fillId="0" borderId="4"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0" fontId="35" fillId="0" borderId="11" xfId="0" applyFont="1" applyFill="1" applyBorder="1" applyAlignment="1">
      <alignment horizontal="center"/>
    </xf>
    <xf numFmtId="0" fontId="35" fillId="0" borderId="23" xfId="0" applyFont="1" applyFill="1" applyBorder="1" applyAlignment="1">
      <alignment horizontal="left"/>
    </xf>
    <xf numFmtId="0" fontId="0" fillId="0" borderId="11" xfId="0" applyFont="1" applyFill="1" applyBorder="1" applyAlignment="1">
      <alignment horizontal="center"/>
    </xf>
    <xf numFmtId="43" fontId="0" fillId="0" borderId="11" xfId="15" applyFont="1" applyFill="1" applyBorder="1" applyAlignment="1">
      <alignment/>
    </xf>
    <xf numFmtId="10" fontId="0" fillId="0" borderId="23" xfId="22" applyNumberFormat="1" applyFont="1" applyFill="1" applyBorder="1" applyAlignment="1">
      <alignment horizontal="left"/>
    </xf>
    <xf numFmtId="9" fontId="0" fillId="0" borderId="23" xfId="22" applyFont="1" applyFill="1" applyBorder="1" applyAlignment="1">
      <alignment horizontal="left"/>
    </xf>
    <xf numFmtId="9" fontId="0" fillId="0" borderId="23" xfId="22" applyFont="1" applyFill="1" applyBorder="1" applyAlignment="1">
      <alignment horizontal="center"/>
    </xf>
    <xf numFmtId="10" fontId="0" fillId="0" borderId="23" xfId="22" applyNumberFormat="1" applyFont="1" applyFill="1" applyBorder="1" applyAlignment="1">
      <alignment horizontal="center"/>
    </xf>
    <xf numFmtId="43" fontId="0" fillId="0" borderId="24" xfId="15" applyFont="1" applyFill="1" applyBorder="1" applyAlignment="1">
      <alignment/>
    </xf>
    <xf numFmtId="0" fontId="0" fillId="0" borderId="11" xfId="0" applyFont="1" applyFill="1" applyBorder="1" applyAlignment="1">
      <alignment/>
    </xf>
    <xf numFmtId="0" fontId="35" fillId="0" borderId="23" xfId="0" applyFont="1" applyFill="1" applyBorder="1" applyAlignment="1">
      <alignment/>
    </xf>
    <xf numFmtId="39" fontId="0" fillId="0" borderId="11" xfId="0" applyNumberFormat="1" applyFont="1" applyFill="1" applyBorder="1" applyAlignment="1">
      <alignment/>
    </xf>
    <xf numFmtId="39" fontId="0" fillId="0" borderId="24" xfId="0" applyNumberFormat="1" applyFont="1" applyFill="1" applyBorder="1" applyAlignment="1">
      <alignment/>
    </xf>
    <xf numFmtId="0" fontId="0" fillId="0" borderId="23" xfId="0" applyFont="1" applyFill="1" applyBorder="1" applyAlignment="1" quotePrefix="1">
      <alignment/>
    </xf>
    <xf numFmtId="0" fontId="0" fillId="0" borderId="6" xfId="0" applyFont="1" applyFill="1" applyBorder="1" applyAlignment="1">
      <alignment/>
    </xf>
    <xf numFmtId="0" fontId="0" fillId="0" borderId="1" xfId="0" applyFont="1" applyFill="1" applyBorder="1" applyAlignment="1">
      <alignment/>
    </xf>
    <xf numFmtId="39" fontId="0" fillId="0" borderId="1" xfId="0" applyNumberFormat="1" applyFont="1" applyFill="1" applyBorder="1" applyAlignment="1">
      <alignment/>
    </xf>
    <xf numFmtId="39" fontId="0" fillId="0" borderId="27" xfId="0" applyNumberFormat="1" applyFont="1" applyFill="1" applyBorder="1" applyAlignment="1">
      <alignment/>
    </xf>
    <xf numFmtId="0" fontId="35" fillId="0" borderId="0" xfId="0" applyFont="1" applyAlignment="1">
      <alignment/>
    </xf>
    <xf numFmtId="0" fontId="35" fillId="0" borderId="0" xfId="0" applyFont="1" applyAlignment="1">
      <alignment horizontal="center"/>
    </xf>
    <xf numFmtId="39" fontId="35" fillId="0" borderId="0" xfId="0" applyNumberFormat="1" applyFont="1" applyAlignment="1">
      <alignment horizontal="center"/>
    </xf>
    <xf numFmtId="39" fontId="0" fillId="0" borderId="0" xfId="0" applyNumberFormat="1" applyAlignment="1">
      <alignment/>
    </xf>
    <xf numFmtId="39" fontId="0" fillId="0" borderId="5" xfId="0" applyNumberFormat="1" applyBorder="1" applyAlignment="1">
      <alignment/>
    </xf>
    <xf numFmtId="0" fontId="0" fillId="0" borderId="0" xfId="0" applyAlignment="1" quotePrefix="1">
      <alignment/>
    </xf>
    <xf numFmtId="0" fontId="35" fillId="0" borderId="0" xfId="0" applyFont="1" applyAlignment="1" quotePrefix="1">
      <alignment/>
    </xf>
    <xf numFmtId="39" fontId="0" fillId="0" borderId="12" xfId="0" applyNumberFormat="1" applyBorder="1" applyAlignment="1">
      <alignment/>
    </xf>
    <xf numFmtId="189" fontId="6" fillId="0" borderId="3" xfId="0" applyNumberFormat="1" applyFont="1" applyBorder="1" applyAlignment="1" quotePrefix="1">
      <alignment horizontal="center"/>
    </xf>
    <xf numFmtId="0" fontId="1" fillId="0" borderId="0" xfId="0" applyNumberFormat="1" applyFont="1" applyFill="1" applyBorder="1" applyAlignment="1">
      <alignment/>
    </xf>
    <xf numFmtId="176" fontId="1" fillId="0" borderId="0" xfId="0" applyNumberFormat="1" applyFont="1" applyFill="1" applyBorder="1" applyAlignment="1">
      <alignment horizontal="center"/>
    </xf>
    <xf numFmtId="188" fontId="28" fillId="0" borderId="0" xfId="0" applyNumberFormat="1" applyFont="1" applyBorder="1" applyAlignment="1" quotePrefix="1">
      <alignment horizontal="center"/>
    </xf>
    <xf numFmtId="15" fontId="0" fillId="0" borderId="0" xfId="0" applyNumberFormat="1" applyFont="1" applyBorder="1" applyAlignment="1" quotePrefix="1">
      <alignment horizontal="left"/>
    </xf>
    <xf numFmtId="43" fontId="1" fillId="0" borderId="0" xfId="0" applyNumberFormat="1" applyFont="1" applyAlignment="1">
      <alignment horizontal="center"/>
    </xf>
    <xf numFmtId="43" fontId="31" fillId="0" borderId="0" xfId="0" applyNumberFormat="1" applyFont="1" applyAlignment="1">
      <alignment horizontal="center"/>
    </xf>
    <xf numFmtId="202" fontId="1" fillId="0" borderId="5" xfId="0" applyNumberFormat="1" applyFont="1" applyBorder="1" applyAlignment="1">
      <alignment/>
    </xf>
    <xf numFmtId="202" fontId="35" fillId="0" borderId="0" xfId="0" applyNumberFormat="1" applyFont="1" applyAlignment="1">
      <alignment horizontal="center"/>
    </xf>
    <xf numFmtId="202" fontId="0" fillId="0" borderId="0" xfId="0" applyNumberFormat="1" applyAlignment="1">
      <alignment/>
    </xf>
    <xf numFmtId="202" fontId="0" fillId="0" borderId="12" xfId="0" applyNumberFormat="1" applyBorder="1" applyAlignment="1">
      <alignment/>
    </xf>
    <xf numFmtId="17" fontId="0" fillId="0" borderId="0" xfId="0" applyNumberFormat="1" applyAlignment="1">
      <alignment horizontal="center"/>
    </xf>
    <xf numFmtId="0" fontId="0" fillId="0" borderId="0" xfId="0" applyFont="1" applyAlignment="1" quotePrefix="1">
      <alignment/>
    </xf>
    <xf numFmtId="39" fontId="0" fillId="0" borderId="0" xfId="0" applyNumberFormat="1" applyBorder="1" applyAlignment="1">
      <alignment/>
    </xf>
    <xf numFmtId="0" fontId="0" fillId="0" borderId="23" xfId="0" applyBorder="1" applyAlignment="1">
      <alignment/>
    </xf>
    <xf numFmtId="39" fontId="0" fillId="0" borderId="23" xfId="0" applyNumberFormat="1" applyBorder="1" applyAlignment="1">
      <alignment/>
    </xf>
    <xf numFmtId="39" fontId="0" fillId="0" borderId="11" xfId="0" applyNumberFormat="1" applyBorder="1" applyAlignment="1">
      <alignment/>
    </xf>
    <xf numFmtId="39" fontId="0" fillId="0" borderId="22" xfId="0" applyNumberFormat="1" applyBorder="1" applyAlignment="1">
      <alignment/>
    </xf>
    <xf numFmtId="39" fontId="0" fillId="0" borderId="4" xfId="0" applyNumberFormat="1" applyBorder="1" applyAlignment="1">
      <alignment/>
    </xf>
    <xf numFmtId="39" fontId="0" fillId="0" borderId="24" xfId="0" applyNumberFormat="1" applyBorder="1" applyAlignment="1">
      <alignment/>
    </xf>
    <xf numFmtId="39" fontId="0" fillId="0" borderId="6" xfId="0" applyNumberFormat="1" applyBorder="1" applyAlignment="1">
      <alignment/>
    </xf>
    <xf numFmtId="39" fontId="0" fillId="0" borderId="27" xfId="0" applyNumberFormat="1" applyBorder="1" applyAlignment="1">
      <alignment/>
    </xf>
    <xf numFmtId="0" fontId="34" fillId="0" borderId="23" xfId="0" applyFont="1" applyBorder="1" applyAlignment="1">
      <alignment/>
    </xf>
    <xf numFmtId="39" fontId="0" fillId="0" borderId="66" xfId="0" applyNumberFormat="1" applyBorder="1" applyAlignment="1">
      <alignment/>
    </xf>
    <xf numFmtId="0" fontId="34" fillId="0" borderId="4" xfId="0" applyFont="1" applyBorder="1" applyAlignment="1">
      <alignment/>
    </xf>
    <xf numFmtId="0" fontId="35" fillId="0" borderId="11" xfId="0" applyFont="1" applyBorder="1" applyAlignment="1">
      <alignment horizontal="center"/>
    </xf>
    <xf numFmtId="39" fontId="35" fillId="0" borderId="0" xfId="0" applyNumberFormat="1" applyFont="1" applyAlignment="1" quotePrefix="1">
      <alignment horizontal="center"/>
    </xf>
    <xf numFmtId="39" fontId="35" fillId="0" borderId="11" xfId="0" applyNumberFormat="1" applyFont="1" applyBorder="1" applyAlignment="1">
      <alignment horizontal="center"/>
    </xf>
    <xf numFmtId="0" fontId="35" fillId="0" borderId="4" xfId="0" applyFont="1" applyBorder="1" applyAlignment="1">
      <alignment horizontal="center"/>
    </xf>
    <xf numFmtId="0" fontId="35" fillId="0" borderId="5" xfId="0" applyFont="1" applyBorder="1" applyAlignment="1">
      <alignment horizontal="center"/>
    </xf>
    <xf numFmtId="0" fontId="35" fillId="0" borderId="22" xfId="0"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39" fontId="35" fillId="0" borderId="23" xfId="0" applyNumberFormat="1" applyFont="1" applyBorder="1" applyAlignment="1">
      <alignment horizontal="center"/>
    </xf>
    <xf numFmtId="39" fontId="35" fillId="0" borderId="0" xfId="0" applyNumberFormat="1" applyFont="1" applyBorder="1" applyAlignment="1">
      <alignment horizontal="center"/>
    </xf>
    <xf numFmtId="0" fontId="0" fillId="0" borderId="6" xfId="0" applyBorder="1" applyAlignment="1">
      <alignment/>
    </xf>
    <xf numFmtId="39" fontId="0" fillId="0" borderId="1" xfId="0" applyNumberFormat="1" applyBorder="1" applyAlignment="1">
      <alignment/>
    </xf>
    <xf numFmtId="0" fontId="35" fillId="0" borderId="0" xfId="0" applyFont="1" applyFill="1" applyBorder="1" applyAlignment="1">
      <alignment horizontal="center"/>
    </xf>
    <xf numFmtId="39" fontId="20" fillId="0" borderId="0" xfId="0" applyNumberFormat="1" applyFont="1" applyBorder="1" applyAlignment="1">
      <alignment/>
    </xf>
    <xf numFmtId="39" fontId="0" fillId="0" borderId="43" xfId="0" applyNumberFormat="1" applyBorder="1" applyAlignment="1">
      <alignment/>
    </xf>
    <xf numFmtId="202" fontId="0" fillId="0" borderId="43" xfId="0" applyNumberFormat="1" applyBorder="1" applyAlignment="1">
      <alignment/>
    </xf>
    <xf numFmtId="202" fontId="1" fillId="0" borderId="43" xfId="0" applyNumberFormat="1" applyFont="1" applyBorder="1" applyAlignment="1">
      <alignment/>
    </xf>
    <xf numFmtId="202" fontId="20" fillId="0" borderId="43" xfId="0" applyNumberFormat="1" applyFont="1" applyBorder="1" applyAlignment="1">
      <alignment/>
    </xf>
    <xf numFmtId="0" fontId="20" fillId="0" borderId="43" xfId="0" applyFont="1" applyBorder="1" applyAlignment="1">
      <alignment/>
    </xf>
    <xf numFmtId="0" fontId="20" fillId="0" borderId="1" xfId="0" applyFont="1" applyBorder="1" applyAlignment="1">
      <alignment/>
    </xf>
    <xf numFmtId="202" fontId="1" fillId="0" borderId="1" xfId="0" applyNumberFormat="1" applyFont="1" applyBorder="1" applyAlignment="1">
      <alignment/>
    </xf>
    <xf numFmtId="0" fontId="0" fillId="0" borderId="0" xfId="0" applyFont="1" applyFill="1" applyAlignment="1" quotePrefix="1">
      <alignment/>
    </xf>
    <xf numFmtId="176" fontId="1" fillId="0" borderId="0" xfId="0" applyNumberFormat="1" applyFont="1" applyAlignment="1">
      <alignment horizontal="left"/>
    </xf>
    <xf numFmtId="0" fontId="1" fillId="8" borderId="0" xfId="0" applyFont="1" applyFill="1" applyAlignment="1">
      <alignment/>
    </xf>
    <xf numFmtId="0" fontId="0" fillId="0" borderId="4" xfId="0" applyBorder="1" applyAlignment="1" quotePrefix="1">
      <alignment/>
    </xf>
    <xf numFmtId="0" fontId="0" fillId="0" borderId="23" xfId="0" applyFont="1" applyBorder="1" applyAlignment="1">
      <alignment/>
    </xf>
    <xf numFmtId="37" fontId="0" fillId="0" borderId="0" xfId="0" applyNumberFormat="1" applyAlignment="1">
      <alignment/>
    </xf>
    <xf numFmtId="0" fontId="0" fillId="0" borderId="5" xfId="0" applyBorder="1" applyAlignment="1">
      <alignment/>
    </xf>
    <xf numFmtId="37" fontId="0" fillId="0" borderId="11" xfId="0" applyNumberFormat="1" applyBorder="1" applyAlignment="1">
      <alignment/>
    </xf>
    <xf numFmtId="0" fontId="43" fillId="0" borderId="0" xfId="15" applyNumberFormat="1" applyFont="1" applyFill="1" applyBorder="1" applyAlignment="1">
      <alignment/>
    </xf>
    <xf numFmtId="176" fontId="43" fillId="0" borderId="0" xfId="15" applyNumberFormat="1" applyFont="1" applyFill="1" applyBorder="1" applyAlignment="1">
      <alignment horizontal="left"/>
    </xf>
    <xf numFmtId="0" fontId="1" fillId="0" borderId="12" xfId="0" applyFont="1" applyBorder="1" applyAlignment="1">
      <alignment/>
    </xf>
    <xf numFmtId="0" fontId="1" fillId="0" borderId="24" xfId="0" applyFont="1" applyBorder="1" applyAlignment="1">
      <alignment/>
    </xf>
    <xf numFmtId="41" fontId="1" fillId="0" borderId="0" xfId="15" applyNumberFormat="1" applyFont="1" applyAlignment="1">
      <alignment horizontal="right"/>
    </xf>
    <xf numFmtId="41" fontId="1" fillId="0" borderId="0" xfId="15" applyNumberFormat="1" applyFont="1" applyBorder="1" applyAlignment="1">
      <alignment horizontal="right"/>
    </xf>
    <xf numFmtId="39" fontId="1" fillId="4" borderId="0" xfId="0" applyNumberFormat="1" applyFont="1" applyFill="1" applyAlignment="1">
      <alignment/>
    </xf>
    <xf numFmtId="176" fontId="0" fillId="4" borderId="0" xfId="15" applyNumberFormat="1" applyFont="1" applyFill="1" applyAlignment="1">
      <alignment/>
    </xf>
    <xf numFmtId="43" fontId="0" fillId="4" borderId="61" xfId="15" applyFont="1" applyFill="1" applyBorder="1" applyAlignment="1">
      <alignment/>
    </xf>
    <xf numFmtId="174" fontId="0" fillId="0" borderId="0" xfId="0" applyNumberFormat="1" applyFont="1" applyFill="1" applyBorder="1" applyAlignment="1">
      <alignment/>
    </xf>
    <xf numFmtId="0" fontId="34" fillId="0" borderId="0" xfId="0" applyFont="1" applyFill="1" applyAlignment="1">
      <alignment/>
    </xf>
    <xf numFmtId="176" fontId="6" fillId="0" borderId="10" xfId="15" applyNumberFormat="1" applyFont="1" applyFill="1" applyBorder="1" applyAlignment="1">
      <alignment horizontal="center"/>
    </xf>
    <xf numFmtId="176" fontId="6" fillId="0" borderId="3" xfId="15" applyNumberFormat="1" applyFont="1" applyFill="1" applyBorder="1" applyAlignment="1">
      <alignment horizontal="center"/>
    </xf>
    <xf numFmtId="189" fontId="6" fillId="0" borderId="3" xfId="0" applyNumberFormat="1" applyFont="1" applyFill="1" applyBorder="1" applyAlignment="1">
      <alignment horizontal="center"/>
    </xf>
    <xf numFmtId="176" fontId="6" fillId="0" borderId="2" xfId="15" applyNumberFormat="1" applyFont="1" applyFill="1" applyBorder="1" applyAlignment="1">
      <alignment horizontal="center"/>
    </xf>
    <xf numFmtId="176" fontId="6" fillId="0" borderId="12" xfId="15" applyNumberFormat="1" applyFont="1" applyFill="1" applyBorder="1" applyAlignment="1">
      <alignment/>
    </xf>
    <xf numFmtId="0" fontId="1" fillId="0" borderId="3" xfId="0" applyFont="1" applyFill="1" applyBorder="1" applyAlignment="1">
      <alignment/>
    </xf>
    <xf numFmtId="176" fontId="6" fillId="0" borderId="0" xfId="15" applyNumberFormat="1" applyFont="1" applyFill="1" applyBorder="1" applyAlignment="1">
      <alignment/>
    </xf>
    <xf numFmtId="43" fontId="1" fillId="0" borderId="9" xfId="15" applyNumberFormat="1" applyFont="1" applyFill="1" applyBorder="1" applyAlignment="1">
      <alignment/>
    </xf>
    <xf numFmtId="178" fontId="1" fillId="0" borderId="0" xfId="15" applyNumberFormat="1" applyFont="1" applyFill="1" applyAlignment="1">
      <alignment/>
    </xf>
    <xf numFmtId="0" fontId="3" fillId="0" borderId="0" xfId="0" applyFont="1" applyFill="1" applyAlignment="1">
      <alignment/>
    </xf>
    <xf numFmtId="176" fontId="3" fillId="0" borderId="0" xfId="15" applyNumberFormat="1" applyFont="1" applyFill="1" applyAlignment="1">
      <alignment/>
    </xf>
    <xf numFmtId="176" fontId="3" fillId="0" borderId="5" xfId="0" applyNumberFormat="1" applyFont="1" applyFill="1" applyBorder="1" applyAlignment="1">
      <alignment/>
    </xf>
    <xf numFmtId="176" fontId="3" fillId="0" borderId="0" xfId="0" applyNumberFormat="1" applyFont="1" applyFill="1" applyAlignment="1">
      <alignment/>
    </xf>
    <xf numFmtId="176" fontId="3" fillId="0" borderId="12" xfId="0" applyNumberFormat="1" applyFont="1" applyFill="1" applyBorder="1" applyAlignment="1">
      <alignment/>
    </xf>
    <xf numFmtId="174" fontId="59" fillId="0" borderId="0" xfId="15" applyNumberFormat="1" applyFont="1" applyFill="1" applyAlignment="1">
      <alignment horizontal="center"/>
    </xf>
    <xf numFmtId="174" fontId="3" fillId="0" borderId="0" xfId="15" applyNumberFormat="1" applyFont="1" applyFill="1" applyAlignment="1">
      <alignment/>
    </xf>
    <xf numFmtId="174" fontId="3" fillId="0" borderId="12" xfId="15" applyNumberFormat="1" applyFont="1" applyFill="1" applyBorder="1" applyAlignment="1">
      <alignment/>
    </xf>
    <xf numFmtId="0" fontId="6" fillId="0" borderId="10" xfId="0" applyFont="1" applyFill="1" applyBorder="1" applyAlignment="1">
      <alignment horizontal="center"/>
    </xf>
    <xf numFmtId="0" fontId="1" fillId="0" borderId="0" xfId="0" applyFont="1" applyFill="1" applyAlignment="1">
      <alignment horizontal="center"/>
    </xf>
    <xf numFmtId="0" fontId="6" fillId="0" borderId="2" xfId="0" applyFont="1" applyFill="1" applyBorder="1" applyAlignment="1">
      <alignment horizontal="center"/>
    </xf>
    <xf numFmtId="9" fontId="1" fillId="0" borderId="3" xfId="22" applyFont="1" applyFill="1" applyBorder="1" applyAlignment="1">
      <alignment/>
    </xf>
    <xf numFmtId="176" fontId="1" fillId="0" borderId="46" xfId="15" applyNumberFormat="1" applyFont="1" applyFill="1" applyBorder="1" applyAlignment="1">
      <alignment/>
    </xf>
    <xf numFmtId="43" fontId="1" fillId="0" borderId="0" xfId="15" applyFont="1" applyFill="1" applyAlignment="1">
      <alignment/>
    </xf>
    <xf numFmtId="43" fontId="1" fillId="0" borderId="9" xfId="15" applyFont="1" applyFill="1" applyBorder="1" applyAlignment="1">
      <alignment/>
    </xf>
    <xf numFmtId="43" fontId="1" fillId="0" borderId="9" xfId="15" applyFont="1" applyFill="1" applyBorder="1" applyAlignment="1">
      <alignment horizontal="right"/>
    </xf>
    <xf numFmtId="43" fontId="2" fillId="0" borderId="0" xfId="0" applyNumberFormat="1" applyFont="1" applyFill="1" applyAlignment="1">
      <alignment/>
    </xf>
    <xf numFmtId="0" fontId="2" fillId="0" borderId="0" xfId="0" applyFont="1" applyFill="1" applyAlignment="1">
      <alignment/>
    </xf>
    <xf numFmtId="43" fontId="1" fillId="0" borderId="0" xfId="0" applyNumberFormat="1" applyFont="1" applyFill="1" applyAlignment="1">
      <alignment/>
    </xf>
    <xf numFmtId="0" fontId="0" fillId="0" borderId="7" xfId="0" applyFont="1" applyBorder="1" applyAlignment="1">
      <alignment horizontal="center"/>
    </xf>
    <xf numFmtId="0" fontId="0" fillId="0" borderId="13" xfId="0" applyFont="1" applyBorder="1" applyAlignment="1">
      <alignment horizontal="center"/>
    </xf>
    <xf numFmtId="9" fontId="34" fillId="0" borderId="0" xfId="0" applyNumberFormat="1" applyFont="1" applyAlignment="1">
      <alignment horizontal="center"/>
    </xf>
    <xf numFmtId="0" fontId="34" fillId="0" borderId="0" xfId="0" applyFont="1" applyAlignment="1">
      <alignment horizontal="center"/>
    </xf>
    <xf numFmtId="176" fontId="6" fillId="0" borderId="7" xfId="15" applyNumberFormat="1" applyFont="1" applyFill="1" applyBorder="1" applyAlignment="1">
      <alignment horizontal="center"/>
    </xf>
    <xf numFmtId="176" fontId="6" fillId="0" borderId="8" xfId="15" applyNumberFormat="1" applyFont="1" applyFill="1" applyBorder="1" applyAlignment="1">
      <alignment horizontal="center"/>
    </xf>
    <xf numFmtId="176" fontId="6" fillId="0" borderId="13" xfId="15" applyNumberFormat="1"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Alignment="1">
      <alignment horizontal="center"/>
    </xf>
    <xf numFmtId="176" fontId="6" fillId="0" borderId="7" xfId="15" applyNumberFormat="1" applyFont="1" applyBorder="1" applyAlignment="1">
      <alignment horizontal="center"/>
    </xf>
    <xf numFmtId="176" fontId="6" fillId="0" borderId="8" xfId="15" applyNumberFormat="1" applyFont="1" applyBorder="1" applyAlignment="1">
      <alignment horizontal="center"/>
    </xf>
    <xf numFmtId="176" fontId="6" fillId="0" borderId="13" xfId="15" applyNumberFormat="1" applyFont="1" applyBorder="1" applyAlignment="1">
      <alignment horizontal="center"/>
    </xf>
    <xf numFmtId="0" fontId="0" fillId="0" borderId="4" xfId="0" applyFont="1" applyBorder="1" applyAlignment="1">
      <alignment horizontal="center"/>
    </xf>
    <xf numFmtId="0" fontId="0" fillId="0" borderId="22" xfId="0" applyFont="1" applyBorder="1" applyAlignment="1">
      <alignment horizontal="center"/>
    </xf>
    <xf numFmtId="0" fontId="0" fillId="0" borderId="6" xfId="0" applyFont="1" applyBorder="1" applyAlignment="1">
      <alignment horizontal="center"/>
    </xf>
    <xf numFmtId="0" fontId="0" fillId="0" borderId="27" xfId="0" applyFont="1" applyBorder="1" applyAlignment="1">
      <alignment horizontal="center"/>
    </xf>
    <xf numFmtId="0" fontId="0" fillId="0" borderId="1" xfId="0" applyFont="1" applyBorder="1" applyAlignment="1">
      <alignment horizontal="center"/>
    </xf>
    <xf numFmtId="174" fontId="32" fillId="0" borderId="51" xfId="15" applyNumberFormat="1" applyFont="1" applyFill="1" applyBorder="1" applyAlignment="1">
      <alignment horizontal="center"/>
    </xf>
    <xf numFmtId="174" fontId="32" fillId="0" borderId="13" xfId="15" applyNumberFormat="1" applyFont="1" applyFill="1" applyBorder="1" applyAlignment="1">
      <alignment horizontal="center"/>
    </xf>
    <xf numFmtId="174" fontId="32" fillId="0" borderId="4" xfId="15" applyNumberFormat="1" applyFont="1" applyFill="1" applyBorder="1" applyAlignment="1">
      <alignment horizontal="center"/>
    </xf>
    <xf numFmtId="174" fontId="1" fillId="0" borderId="0" xfId="0" applyNumberFormat="1" applyFont="1" applyAlignment="1">
      <alignment horizontal="center"/>
    </xf>
    <xf numFmtId="174" fontId="1" fillId="0" borderId="0" xfId="15" applyNumberFormat="1" applyFont="1" applyAlignment="1">
      <alignment horizontal="center"/>
    </xf>
    <xf numFmtId="16" fontId="0" fillId="0" borderId="0" xfId="0" applyNumberFormat="1" applyBorder="1" applyAlignment="1" quotePrefix="1">
      <alignment horizontal="center"/>
    </xf>
    <xf numFmtId="0" fontId="1" fillId="0" borderId="0" xfId="0" applyFont="1" applyAlignment="1">
      <alignment/>
    </xf>
    <xf numFmtId="0" fontId="6" fillId="0" borderId="7" xfId="0" applyFont="1" applyBorder="1" applyAlignment="1">
      <alignment horizontal="center"/>
    </xf>
    <xf numFmtId="0" fontId="6" fillId="0" borderId="13"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3" xfId="0" applyFont="1" applyBorder="1" applyAlignment="1">
      <alignment horizontal="left"/>
    </xf>
    <xf numFmtId="0" fontId="20" fillId="0" borderId="0" xfId="0" applyFont="1" applyAlignment="1">
      <alignment horizontal="center"/>
    </xf>
    <xf numFmtId="189" fontId="20" fillId="0" borderId="0" xfId="0" applyNumberFormat="1" applyFont="1" applyAlignment="1">
      <alignment horizontal="center"/>
    </xf>
    <xf numFmtId="0" fontId="1" fillId="0" borderId="0" xfId="0" applyFont="1" applyAlignment="1">
      <alignment horizontal="center"/>
    </xf>
    <xf numFmtId="0" fontId="1" fillId="0" borderId="0" xfId="0" applyFont="1" applyBorder="1" applyAlignment="1">
      <alignment horizontal="center"/>
    </xf>
  </cellXfs>
  <cellStyles count="9">
    <cellStyle name="Normal" xfId="0"/>
    <cellStyle name="Comma" xfId="15"/>
    <cellStyle name="Comma [0]" xfId="16"/>
    <cellStyle name="Comma_Share price" xfId="17"/>
    <cellStyle name="Currency" xfId="18"/>
    <cellStyle name="Currency [0]"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externalLink" Target="externalLinks/externalLink2.xml" /><Relationship Id="rId46" Type="http://schemas.openxmlformats.org/officeDocument/2006/relationships/externalLink" Target="externalLinks/externalLink3.xml" /><Relationship Id="rId47" Type="http://schemas.openxmlformats.org/officeDocument/2006/relationships/externalLink" Target="externalLinks/externalLink4.xml" /><Relationship Id="rId48" Type="http://schemas.openxmlformats.org/officeDocument/2006/relationships/externalLink" Target="externalLinks/externalLink5.xml" /><Relationship Id="rId49" Type="http://schemas.openxmlformats.org/officeDocument/2006/relationships/externalLink" Target="externalLinks/externalLink6.xml" /><Relationship Id="rId50" Type="http://schemas.openxmlformats.org/officeDocument/2006/relationships/externalLink" Target="externalLinks/externalLink7.xml" /><Relationship Id="rId51" Type="http://schemas.openxmlformats.org/officeDocument/2006/relationships/externalLink" Target="externalLinks/externalLink8.xml" /><Relationship Id="rId5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5</xdr:col>
      <xdr:colOff>962025</xdr:colOff>
      <xdr:row>60</xdr:row>
      <xdr:rowOff>38100</xdr:rowOff>
    </xdr:to>
    <xdr:sp>
      <xdr:nvSpPr>
        <xdr:cNvPr id="1" name="TextBox 4"/>
        <xdr:cNvSpPr txBox="1">
          <a:spLocks noChangeArrowheads="1"/>
        </xdr:cNvSpPr>
      </xdr:nvSpPr>
      <xdr:spPr>
        <a:xfrm>
          <a:off x="0" y="9258300"/>
          <a:ext cx="6477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Balance Sheets  should be read in conjunction with the Annual Financial Report for the year ended 31 January 2006 and the accompanying explanatory notes attached to the interim financial statements.
</a:t>
          </a:r>
        </a:p>
      </xdr:txBody>
    </xdr:sp>
    <xdr:clientData/>
  </xdr:twoCellAnchor>
  <xdr:twoCellAnchor>
    <xdr:from>
      <xdr:col>0</xdr:col>
      <xdr:colOff>0</xdr:colOff>
      <xdr:row>57</xdr:row>
      <xdr:rowOff>0</xdr:rowOff>
    </xdr:from>
    <xdr:to>
      <xdr:col>5</xdr:col>
      <xdr:colOff>962025</xdr:colOff>
      <xdr:row>60</xdr:row>
      <xdr:rowOff>38100</xdr:rowOff>
    </xdr:to>
    <xdr:sp>
      <xdr:nvSpPr>
        <xdr:cNvPr id="2" name="TextBox 5"/>
        <xdr:cNvSpPr txBox="1">
          <a:spLocks noChangeArrowheads="1"/>
        </xdr:cNvSpPr>
      </xdr:nvSpPr>
      <xdr:spPr>
        <a:xfrm>
          <a:off x="0" y="9258300"/>
          <a:ext cx="64770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Balance Sheets  should be read in conjunction with the Annual Financial Report for the year ended 31 January 2006 and the accompanying explanatory notes attached to the interim financial statements.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40</xdr:row>
      <xdr:rowOff>19050</xdr:rowOff>
    </xdr:from>
    <xdr:to>
      <xdr:col>4</xdr:col>
      <xdr:colOff>142875</xdr:colOff>
      <xdr:row>43</xdr:row>
      <xdr:rowOff>152400</xdr:rowOff>
    </xdr:to>
    <xdr:sp>
      <xdr:nvSpPr>
        <xdr:cNvPr id="1" name="AutoShape 45"/>
        <xdr:cNvSpPr>
          <a:spLocks/>
        </xdr:cNvSpPr>
      </xdr:nvSpPr>
      <xdr:spPr>
        <a:xfrm>
          <a:off x="4105275" y="6715125"/>
          <a:ext cx="76200" cy="638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8</xdr:row>
      <xdr:rowOff>133350</xdr:rowOff>
    </xdr:from>
    <xdr:to>
      <xdr:col>2</xdr:col>
      <xdr:colOff>676275</xdr:colOff>
      <xdr:row>9</xdr:row>
      <xdr:rowOff>133350</xdr:rowOff>
    </xdr:to>
    <xdr:sp>
      <xdr:nvSpPr>
        <xdr:cNvPr id="1" name="TextBox 2"/>
        <xdr:cNvSpPr txBox="1">
          <a:spLocks noChangeArrowheads="1"/>
        </xdr:cNvSpPr>
      </xdr:nvSpPr>
      <xdr:spPr>
        <a:xfrm>
          <a:off x="1685925" y="1428750"/>
          <a:ext cx="9525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Capital reserve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7</xdr:row>
      <xdr:rowOff>9525</xdr:rowOff>
    </xdr:from>
    <xdr:to>
      <xdr:col>3</xdr:col>
      <xdr:colOff>190500</xdr:colOff>
      <xdr:row>8</xdr:row>
      <xdr:rowOff>142875</xdr:rowOff>
    </xdr:to>
    <xdr:sp>
      <xdr:nvSpPr>
        <xdr:cNvPr id="1" name="AutoShape 1"/>
        <xdr:cNvSpPr>
          <a:spLocks/>
        </xdr:cNvSpPr>
      </xdr:nvSpPr>
      <xdr:spPr>
        <a:xfrm>
          <a:off x="4572000" y="1257300"/>
          <a:ext cx="76200" cy="295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7</xdr:row>
      <xdr:rowOff>19050</xdr:rowOff>
    </xdr:from>
    <xdr:to>
      <xdr:col>5</xdr:col>
      <xdr:colOff>257175</xdr:colOff>
      <xdr:row>8</xdr:row>
      <xdr:rowOff>152400</xdr:rowOff>
    </xdr:to>
    <xdr:sp>
      <xdr:nvSpPr>
        <xdr:cNvPr id="2" name="TextBox 2"/>
        <xdr:cNvSpPr txBox="1">
          <a:spLocks noChangeArrowheads="1"/>
        </xdr:cNvSpPr>
      </xdr:nvSpPr>
      <xdr:spPr>
        <a:xfrm>
          <a:off x="4705350" y="1266825"/>
          <a:ext cx="15335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reversed out due to disposal of JK Lamps &amp; JK EA to SIM</a:t>
          </a:r>
        </a:p>
      </xdr:txBody>
    </xdr:sp>
    <xdr:clientData/>
  </xdr:twoCellAnchor>
  <xdr:twoCellAnchor>
    <xdr:from>
      <xdr:col>4</xdr:col>
      <xdr:colOff>114300</xdr:colOff>
      <xdr:row>57</xdr:row>
      <xdr:rowOff>9525</xdr:rowOff>
    </xdr:from>
    <xdr:to>
      <xdr:col>4</xdr:col>
      <xdr:colOff>190500</xdr:colOff>
      <xdr:row>58</xdr:row>
      <xdr:rowOff>142875</xdr:rowOff>
    </xdr:to>
    <xdr:sp>
      <xdr:nvSpPr>
        <xdr:cNvPr id="3" name="AutoShape 3"/>
        <xdr:cNvSpPr>
          <a:spLocks/>
        </xdr:cNvSpPr>
      </xdr:nvSpPr>
      <xdr:spPr>
        <a:xfrm>
          <a:off x="5762625" y="9515475"/>
          <a:ext cx="76200" cy="2952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57</xdr:row>
      <xdr:rowOff>0</xdr:rowOff>
    </xdr:from>
    <xdr:to>
      <xdr:col>6</xdr:col>
      <xdr:colOff>295275</xdr:colOff>
      <xdr:row>58</xdr:row>
      <xdr:rowOff>152400</xdr:rowOff>
    </xdr:to>
    <xdr:sp>
      <xdr:nvSpPr>
        <xdr:cNvPr id="4" name="TextBox 6"/>
        <xdr:cNvSpPr txBox="1">
          <a:spLocks noChangeArrowheads="1"/>
        </xdr:cNvSpPr>
      </xdr:nvSpPr>
      <xdr:spPr>
        <a:xfrm>
          <a:off x="5934075" y="9505950"/>
          <a:ext cx="6000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t>reversed out due to disposal of JK Lamps &amp; JK EA to SIM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152400</xdr:rowOff>
    </xdr:from>
    <xdr:to>
      <xdr:col>8</xdr:col>
      <xdr:colOff>752475</xdr:colOff>
      <xdr:row>49</xdr:row>
      <xdr:rowOff>28575</xdr:rowOff>
    </xdr:to>
    <xdr:sp>
      <xdr:nvSpPr>
        <xdr:cNvPr id="1" name="TextBox 1"/>
        <xdr:cNvSpPr txBox="1">
          <a:spLocks noChangeArrowheads="1"/>
        </xdr:cNvSpPr>
      </xdr:nvSpPr>
      <xdr:spPr>
        <a:xfrm>
          <a:off x="200025" y="7610475"/>
          <a:ext cx="5705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2006 and the accompanying explanatory notes attached to the interim 
financial statements.
</a:t>
          </a:r>
        </a:p>
      </xdr:txBody>
    </xdr:sp>
    <xdr:clientData/>
  </xdr:twoCellAnchor>
  <xdr:twoCellAnchor>
    <xdr:from>
      <xdr:col>1</xdr:col>
      <xdr:colOff>0</xdr:colOff>
      <xdr:row>45</xdr:row>
      <xdr:rowOff>152400</xdr:rowOff>
    </xdr:from>
    <xdr:to>
      <xdr:col>8</xdr:col>
      <xdr:colOff>752475</xdr:colOff>
      <xdr:row>49</xdr:row>
      <xdr:rowOff>28575</xdr:rowOff>
    </xdr:to>
    <xdr:sp>
      <xdr:nvSpPr>
        <xdr:cNvPr id="2" name="TextBox 7"/>
        <xdr:cNvSpPr txBox="1">
          <a:spLocks noChangeArrowheads="1"/>
        </xdr:cNvSpPr>
      </xdr:nvSpPr>
      <xdr:spPr>
        <a:xfrm>
          <a:off x="200025" y="7610475"/>
          <a:ext cx="570547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2006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76200</xdr:rowOff>
    </xdr:from>
    <xdr:to>
      <xdr:col>9</xdr:col>
      <xdr:colOff>0</xdr:colOff>
      <xdr:row>6</xdr:row>
      <xdr:rowOff>76200</xdr:rowOff>
    </xdr:to>
    <xdr:sp>
      <xdr:nvSpPr>
        <xdr:cNvPr id="1" name="Line 2"/>
        <xdr:cNvSpPr>
          <a:spLocks/>
        </xdr:cNvSpPr>
      </xdr:nvSpPr>
      <xdr:spPr>
        <a:xfrm>
          <a:off x="6572250"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2" name="Line 4"/>
        <xdr:cNvSpPr>
          <a:spLocks/>
        </xdr:cNvSpPr>
      </xdr:nvSpPr>
      <xdr:spPr>
        <a:xfrm flipH="1">
          <a:off x="2562225"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3" name="Line 5"/>
        <xdr:cNvSpPr>
          <a:spLocks/>
        </xdr:cNvSpPr>
      </xdr:nvSpPr>
      <xdr:spPr>
        <a:xfrm>
          <a:off x="5495925"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4" name="Line 6"/>
        <xdr:cNvSpPr>
          <a:spLocks/>
        </xdr:cNvSpPr>
      </xdr:nvSpPr>
      <xdr:spPr>
        <a:xfrm flipH="1">
          <a:off x="3362325"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38</xdr:row>
      <xdr:rowOff>66675</xdr:rowOff>
    </xdr:from>
    <xdr:to>
      <xdr:col>10</xdr:col>
      <xdr:colOff>781050</xdr:colOff>
      <xdr:row>40</xdr:row>
      <xdr:rowOff>114300</xdr:rowOff>
    </xdr:to>
    <xdr:sp>
      <xdr:nvSpPr>
        <xdr:cNvPr id="5" name="TextBox 7"/>
        <xdr:cNvSpPr txBox="1">
          <a:spLocks noChangeArrowheads="1"/>
        </xdr:cNvSpPr>
      </xdr:nvSpPr>
      <xdr:spPr>
        <a:xfrm>
          <a:off x="123825" y="6019800"/>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2006 and the accompanying explanatory notes attached to the interim financial statements.
</a:t>
          </a:r>
        </a:p>
      </xdr:txBody>
    </xdr:sp>
    <xdr:clientData/>
  </xdr:twoCellAnchor>
  <xdr:twoCellAnchor>
    <xdr:from>
      <xdr:col>7</xdr:col>
      <xdr:colOff>9525</xdr:colOff>
      <xdr:row>6</xdr:row>
      <xdr:rowOff>76200</xdr:rowOff>
    </xdr:from>
    <xdr:to>
      <xdr:col>9</xdr:col>
      <xdr:colOff>0</xdr:colOff>
      <xdr:row>6</xdr:row>
      <xdr:rowOff>76200</xdr:rowOff>
    </xdr:to>
    <xdr:sp>
      <xdr:nvSpPr>
        <xdr:cNvPr id="6" name="Line 27"/>
        <xdr:cNvSpPr>
          <a:spLocks/>
        </xdr:cNvSpPr>
      </xdr:nvSpPr>
      <xdr:spPr>
        <a:xfrm>
          <a:off x="6572250" y="112395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85725</xdr:rowOff>
    </xdr:from>
    <xdr:to>
      <xdr:col>4</xdr:col>
      <xdr:colOff>0</xdr:colOff>
      <xdr:row>6</xdr:row>
      <xdr:rowOff>85725</xdr:rowOff>
    </xdr:to>
    <xdr:sp>
      <xdr:nvSpPr>
        <xdr:cNvPr id="7" name="Line 28"/>
        <xdr:cNvSpPr>
          <a:spLocks/>
        </xdr:cNvSpPr>
      </xdr:nvSpPr>
      <xdr:spPr>
        <a:xfrm flipH="1">
          <a:off x="2562225" y="1133475"/>
          <a:ext cx="1600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8</xdr:row>
      <xdr:rowOff>85725</xdr:rowOff>
    </xdr:from>
    <xdr:to>
      <xdr:col>7</xdr:col>
      <xdr:colOff>0</xdr:colOff>
      <xdr:row>8</xdr:row>
      <xdr:rowOff>85725</xdr:rowOff>
    </xdr:to>
    <xdr:sp>
      <xdr:nvSpPr>
        <xdr:cNvPr id="8" name="Line 29"/>
        <xdr:cNvSpPr>
          <a:spLocks/>
        </xdr:cNvSpPr>
      </xdr:nvSpPr>
      <xdr:spPr>
        <a:xfrm>
          <a:off x="5495925" y="1457325"/>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85725</xdr:rowOff>
    </xdr:from>
    <xdr:to>
      <xdr:col>4</xdr:col>
      <xdr:colOff>257175</xdr:colOff>
      <xdr:row>8</xdr:row>
      <xdr:rowOff>85725</xdr:rowOff>
    </xdr:to>
    <xdr:sp>
      <xdr:nvSpPr>
        <xdr:cNvPr id="9" name="Line 30"/>
        <xdr:cNvSpPr>
          <a:spLocks/>
        </xdr:cNvSpPr>
      </xdr:nvSpPr>
      <xdr:spPr>
        <a:xfrm flipH="1">
          <a:off x="3362325" y="1457325"/>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38</xdr:row>
      <xdr:rowOff>66675</xdr:rowOff>
    </xdr:from>
    <xdr:to>
      <xdr:col>10</xdr:col>
      <xdr:colOff>781050</xdr:colOff>
      <xdr:row>40</xdr:row>
      <xdr:rowOff>114300</xdr:rowOff>
    </xdr:to>
    <xdr:sp>
      <xdr:nvSpPr>
        <xdr:cNvPr id="10" name="TextBox 31"/>
        <xdr:cNvSpPr txBox="1">
          <a:spLocks noChangeArrowheads="1"/>
        </xdr:cNvSpPr>
      </xdr:nvSpPr>
      <xdr:spPr>
        <a:xfrm>
          <a:off x="123825" y="6019800"/>
          <a:ext cx="9620250"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2006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9525</xdr:rowOff>
    </xdr:from>
    <xdr:to>
      <xdr:col>4</xdr:col>
      <xdr:colOff>838200</xdr:colOff>
      <xdr:row>59</xdr:row>
      <xdr:rowOff>47625</xdr:rowOff>
    </xdr:to>
    <xdr:sp>
      <xdr:nvSpPr>
        <xdr:cNvPr id="1" name="TextBox 6"/>
        <xdr:cNvSpPr txBox="1">
          <a:spLocks noChangeArrowheads="1"/>
        </xdr:cNvSpPr>
      </xdr:nvSpPr>
      <xdr:spPr>
        <a:xfrm>
          <a:off x="28575" y="9229725"/>
          <a:ext cx="5524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31January 2006 and the accompanying explanatory notes attached to the interim 
financial statements.
</a:t>
          </a:r>
        </a:p>
      </xdr:txBody>
    </xdr:sp>
    <xdr:clientData/>
  </xdr:twoCellAnchor>
  <xdr:twoCellAnchor>
    <xdr:from>
      <xdr:col>0</xdr:col>
      <xdr:colOff>28575</xdr:colOff>
      <xdr:row>56</xdr:row>
      <xdr:rowOff>9525</xdr:rowOff>
    </xdr:from>
    <xdr:to>
      <xdr:col>4</xdr:col>
      <xdr:colOff>838200</xdr:colOff>
      <xdr:row>59</xdr:row>
      <xdr:rowOff>47625</xdr:rowOff>
    </xdr:to>
    <xdr:sp>
      <xdr:nvSpPr>
        <xdr:cNvPr id="2" name="TextBox 18"/>
        <xdr:cNvSpPr txBox="1">
          <a:spLocks noChangeArrowheads="1"/>
        </xdr:cNvSpPr>
      </xdr:nvSpPr>
      <xdr:spPr>
        <a:xfrm>
          <a:off x="28575" y="9229725"/>
          <a:ext cx="55245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31January 2006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8</xdr:col>
      <xdr:colOff>19050</xdr:colOff>
      <xdr:row>39</xdr:row>
      <xdr:rowOff>19050</xdr:rowOff>
    </xdr:to>
    <xdr:sp>
      <xdr:nvSpPr>
        <xdr:cNvPr id="1" name="TextBox 3"/>
        <xdr:cNvSpPr txBox="1">
          <a:spLocks noChangeArrowheads="1"/>
        </xdr:cNvSpPr>
      </xdr:nvSpPr>
      <xdr:spPr>
        <a:xfrm>
          <a:off x="0" y="6181725"/>
          <a:ext cx="5476875"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31st January 2006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9525</xdr:rowOff>
    </xdr:from>
    <xdr:to>
      <xdr:col>5</xdr:col>
      <xdr:colOff>771525</xdr:colOff>
      <xdr:row>53</xdr:row>
      <xdr:rowOff>19050</xdr:rowOff>
    </xdr:to>
    <xdr:sp>
      <xdr:nvSpPr>
        <xdr:cNvPr id="1" name="TextBox 2"/>
        <xdr:cNvSpPr txBox="1">
          <a:spLocks noChangeArrowheads="1"/>
        </xdr:cNvSpPr>
      </xdr:nvSpPr>
      <xdr:spPr>
        <a:xfrm>
          <a:off x="0" y="8296275"/>
          <a:ext cx="5353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Balance Sheets should be read in conjunction with the Annual Financial Report for the year ended 31st January 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9</xdr:col>
      <xdr:colOff>0</xdr:colOff>
      <xdr:row>36</xdr:row>
      <xdr:rowOff>9525</xdr:rowOff>
    </xdr:to>
    <xdr:sp>
      <xdr:nvSpPr>
        <xdr:cNvPr id="1" name="TextBox 4"/>
        <xdr:cNvSpPr txBox="1">
          <a:spLocks noChangeArrowheads="1"/>
        </xdr:cNvSpPr>
      </xdr:nvSpPr>
      <xdr:spPr>
        <a:xfrm>
          <a:off x="133350" y="5619750"/>
          <a:ext cx="8220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31st January 2006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85725</xdr:rowOff>
    </xdr:from>
    <xdr:to>
      <xdr:col>4</xdr:col>
      <xdr:colOff>9525</xdr:colOff>
      <xdr:row>6</xdr:row>
      <xdr:rowOff>85725</xdr:rowOff>
    </xdr:to>
    <xdr:sp>
      <xdr:nvSpPr>
        <xdr:cNvPr id="1" name="Line 1"/>
        <xdr:cNvSpPr>
          <a:spLocks/>
        </xdr:cNvSpPr>
      </xdr:nvSpPr>
      <xdr:spPr>
        <a:xfrm flipV="1">
          <a:off x="3295650" y="1057275"/>
          <a:ext cx="13525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xdr:row>
      <xdr:rowOff>85725</xdr:rowOff>
    </xdr:from>
    <xdr:to>
      <xdr:col>8</xdr:col>
      <xdr:colOff>19050</xdr:colOff>
      <xdr:row>6</xdr:row>
      <xdr:rowOff>85725</xdr:rowOff>
    </xdr:to>
    <xdr:sp>
      <xdr:nvSpPr>
        <xdr:cNvPr id="2" name="Line 2"/>
        <xdr:cNvSpPr>
          <a:spLocks/>
        </xdr:cNvSpPr>
      </xdr:nvSpPr>
      <xdr:spPr>
        <a:xfrm flipV="1">
          <a:off x="4667250" y="1057275"/>
          <a:ext cx="2390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6</xdr:row>
      <xdr:rowOff>85725</xdr:rowOff>
    </xdr:from>
    <xdr:to>
      <xdr:col>8</xdr:col>
      <xdr:colOff>704850</xdr:colOff>
      <xdr:row>6</xdr:row>
      <xdr:rowOff>85725</xdr:rowOff>
    </xdr:to>
    <xdr:sp>
      <xdr:nvSpPr>
        <xdr:cNvPr id="3" name="Line 3"/>
        <xdr:cNvSpPr>
          <a:spLocks/>
        </xdr:cNvSpPr>
      </xdr:nvSpPr>
      <xdr:spPr>
        <a:xfrm>
          <a:off x="7067550" y="1057275"/>
          <a:ext cx="6762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685800</xdr:colOff>
      <xdr:row>31</xdr:row>
      <xdr:rowOff>0</xdr:rowOff>
    </xdr:from>
    <xdr:ext cx="76200" cy="200025"/>
    <xdr:sp>
      <xdr:nvSpPr>
        <xdr:cNvPr id="4" name="TextBox 15"/>
        <xdr:cNvSpPr txBox="1">
          <a:spLocks noChangeArrowheads="1"/>
        </xdr:cNvSpPr>
      </xdr:nvSpPr>
      <xdr:spPr>
        <a:xfrm>
          <a:off x="7724775" y="4867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11</xdr:row>
      <xdr:rowOff>0</xdr:rowOff>
    </xdr:from>
    <xdr:to>
      <xdr:col>8</xdr:col>
      <xdr:colOff>0</xdr:colOff>
      <xdr:row>11</xdr:row>
      <xdr:rowOff>0</xdr:rowOff>
    </xdr:to>
    <xdr:sp>
      <xdr:nvSpPr>
        <xdr:cNvPr id="1" name="TextBox 3"/>
        <xdr:cNvSpPr txBox="1">
          <a:spLocks noChangeArrowheads="1"/>
        </xdr:cNvSpPr>
      </xdr:nvSpPr>
      <xdr:spPr>
        <a:xfrm>
          <a:off x="285750" y="2105025"/>
          <a:ext cx="8362950" cy="0"/>
        </a:xfrm>
        <a:prstGeom prst="rect">
          <a:avLst/>
        </a:prstGeom>
        <a:solidFill>
          <a:srgbClr val="FFFFFF"/>
        </a:solidFill>
        <a:ln w="9525" cmpd="sng">
          <a:noFill/>
        </a:ln>
      </xdr:spPr>
      <xdr:txBody>
        <a:bodyPr vertOverflow="clip" wrap="square" anchor="b"/>
        <a:p>
          <a:pPr algn="just">
            <a:defRPr/>
          </a:pPr>
          <a:r>
            <a:rPr lang="en-US" cap="none" sz="1000" b="0" i="0" u="none" baseline="0"/>
            <a:t>As at the end of this quarter, the Group has acquired / disposed the following assets: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hyong\Desktop\Latest%20Consol%20worksheet%2023.03\Latest%20Consol%20wrksheet%2022.03\Documents%20and%20Settings\User\Desktop\Documents%20and%20Settings\Compaq\Desktop\DY\jkconsol-040706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hyong\Desktop\Latest%20Consol%20worksheet%2023.03\Latest%20Consol%20wrksheet%2022.03\Qtr2-2006\jkconsol-2005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hyong\Desktop\Latest%20Consol%20worksheet%2023.03\Latest%20Consol%20wrksheet%2022.03\jkm\Q4%202006\Qtr4-2006\c\jkconsol-200601f-2905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shyong\Desktop\Latest%20Consol%20worksheet%2023.03\Latest%20Consol%20wrksheet%2022.03\Documents%20and%20Settings\wlchan\Local%20Settings\Temporary%20Internet%20Files\OLK238\Consolidation%20cash%20flows%20notes%20FY%2031%2001%2020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shyong\Desktop\Latest%20Consol%20worksheet%2023.03\Latest%20Consol%20wrksheet%2022.03\Consolidation%20cash%20flows%20notes%20FY%2031%2001%202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shyong\Desktop\Derek1\JKM%20Consol%20Q4%20ended%2031%2001%2007%20working(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shyong\Desktop\Derek1\jkconsol-200601f-290506(FYE31.01.200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PAULIN~1.KYM\LOCALS~1\Temp\IncrediMail\Finalised\JKM%20Consol%20Q4%20ended%2031%2001%2007%20working%2029.03.07)%20laste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je"/>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14">
        <row r="50">
          <cell r="S50">
            <v>6730.423579999986</v>
          </cell>
        </row>
      </sheetData>
      <sheetData sheetId="16">
        <row r="7">
          <cell r="R7">
            <v>3715075</v>
          </cell>
        </row>
        <row r="8">
          <cell r="R8">
            <v>75575900</v>
          </cell>
        </row>
        <row r="9">
          <cell r="R9">
            <v>2665222</v>
          </cell>
        </row>
        <row r="10">
          <cell r="R10">
            <v>4919751.61999999</v>
          </cell>
        </row>
        <row r="11">
          <cell r="R11">
            <v>144000</v>
          </cell>
        </row>
        <row r="12">
          <cell r="R12">
            <v>6730423.58</v>
          </cell>
        </row>
        <row r="13">
          <cell r="R13">
            <v>93750372.19999999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d PL"/>
      <sheetName val="Cond BS"/>
      <sheetName val="cf"/>
      <sheetName val="cf work"/>
      <sheetName val="equity"/>
      <sheetName val="det equity"/>
      <sheetName val="Fully diluted"/>
      <sheetName val="EPS"/>
      <sheetName val="pl"/>
      <sheetName val="adj"/>
      <sheetName val="Sheet1"/>
      <sheetName val="P&amp;L"/>
      <sheetName val="bs"/>
      <sheetName val="B. Sheet"/>
      <sheetName val="notes"/>
      <sheetName val="working"/>
      <sheetName val="seg"/>
      <sheetName val="segYTD"/>
      <sheetName val="je"/>
      <sheetName val="Proof of MI"/>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5">
        <row r="23">
          <cell r="D23">
            <v>53020</v>
          </cell>
          <cell r="E23">
            <v>3704</v>
          </cell>
          <cell r="F23">
            <v>377</v>
          </cell>
          <cell r="G23">
            <v>464</v>
          </cell>
          <cell r="H23">
            <v>515</v>
          </cell>
          <cell r="I23">
            <v>-996.9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d PL"/>
      <sheetName val="Cond BS"/>
      <sheetName val="cf"/>
      <sheetName val="equity"/>
      <sheetName val="cf work"/>
      <sheetName val="det equity"/>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je"/>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14">
        <row r="8">
          <cell r="AA8">
            <v>48754.1599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reakdown"/>
      <sheetName val="Cash flows 2007"/>
      <sheetName val="cash flows 2006"/>
    </sheetNames>
    <sheetDataSet>
      <sheetData sheetId="1">
        <row r="14">
          <cell r="W14">
            <v>1570</v>
          </cell>
        </row>
        <row r="30">
          <cell r="U30">
            <v>-3183.544999999999</v>
          </cell>
        </row>
        <row r="44">
          <cell r="U44">
            <v>-813.9440000000004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reakdown"/>
      <sheetName val="Cash flows 2007"/>
      <sheetName val="cash flows 2006"/>
    </sheetNames>
    <sheetDataSet>
      <sheetData sheetId="1">
        <row r="18">
          <cell r="P18">
            <v>13525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Exchange"/>
      <sheetName val="Other investment"/>
      <sheetName val="reserve"/>
      <sheetName val="cnx"/>
      <sheetName val="DD"/>
      <sheetName val="goodwill"/>
      <sheetName val="segOct"/>
      <sheetName val="inter Company trasaction"/>
      <sheetName val="seg Apr"/>
      <sheetName val="Announcement"/>
      <sheetName val="disposal"/>
      <sheetName val="FA"/>
      <sheetName val="summary"/>
      <sheetName val="Announcement note"/>
    </sheetNames>
    <sheetDataSet>
      <sheetData sheetId="25">
        <row r="25">
          <cell r="H25">
            <v>11731759</v>
          </cell>
        </row>
        <row r="35">
          <cell r="H35">
            <v>1381121</v>
          </cell>
        </row>
        <row r="44">
          <cell r="H44">
            <v>44381922</v>
          </cell>
        </row>
        <row r="52">
          <cell r="H52">
            <v>1381121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d PL"/>
      <sheetName val="Cond BS"/>
      <sheetName val="cf"/>
      <sheetName val="equity"/>
      <sheetName val="cf work"/>
      <sheetName val="det equity"/>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je"/>
      <sheetName val="Proof of RE"/>
      <sheetName val="FJK"/>
      <sheetName val="op bal"/>
      <sheetName val="reserve"/>
      <sheetName val="cnx"/>
      <sheetName val="goodwill"/>
      <sheetName val="segOct"/>
      <sheetName val="inter SP"/>
      <sheetName val="seg Apr"/>
      <sheetName val="Announcement"/>
      <sheetName val="disposal"/>
      <sheetName val="FA"/>
      <sheetName val="summary"/>
      <sheetName val="Announcement note"/>
    </sheetNames>
    <sheetDataSet>
      <sheetData sheetId="14">
        <row r="70">
          <cell r="D70">
            <v>-9159.383</v>
          </cell>
          <cell r="H70">
            <v>-3400.709</v>
          </cell>
          <cell r="I70">
            <v>364.763</v>
          </cell>
        </row>
        <row r="71">
          <cell r="D71">
            <v>171.794</v>
          </cell>
          <cell r="H71">
            <v>-24.56100000000024</v>
          </cell>
          <cell r="I71">
            <v>-1.865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RS BS"/>
      <sheetName val="FRS PL"/>
      <sheetName val="FRS equity"/>
      <sheetName val="cf"/>
      <sheetName val="Cond PL"/>
      <sheetName val="Cond BS"/>
      <sheetName val="equity"/>
      <sheetName val="det equity"/>
      <sheetName val="cf work"/>
      <sheetName val="EPS"/>
      <sheetName val="Fully diluted"/>
      <sheetName val="adj"/>
      <sheetName val="Sheet1"/>
      <sheetName val="Source"/>
      <sheetName val="pl"/>
      <sheetName val="P&amp;L"/>
      <sheetName val="bs"/>
      <sheetName val="B. Sheet"/>
      <sheetName val="notes"/>
      <sheetName val="working"/>
      <sheetName val="seg"/>
      <sheetName val="segYTD"/>
      <sheetName val="Proof of MI"/>
      <sheetName val="Proof of RE"/>
      <sheetName val="je"/>
      <sheetName val="FJK"/>
      <sheetName val="op bal"/>
      <sheetName val="Exchange"/>
      <sheetName val="Other investment"/>
      <sheetName val="reserve"/>
      <sheetName val="cnx"/>
      <sheetName val="DD"/>
      <sheetName val="goodwill"/>
      <sheetName val="segOct"/>
      <sheetName val="inter Company trasaction"/>
      <sheetName val="seg Apr"/>
      <sheetName val="Announcement"/>
      <sheetName val="disposal"/>
      <sheetName val="FA"/>
      <sheetName val="summary"/>
      <sheetName val="Announcement note"/>
    </sheetNames>
    <sheetDataSet>
      <sheetData sheetId="0">
        <row r="23">
          <cell r="D23">
            <v>46049</v>
          </cell>
        </row>
        <row r="38">
          <cell r="D38">
            <v>145916</v>
          </cell>
          <cell r="F38">
            <v>123233</v>
          </cell>
        </row>
      </sheetData>
      <sheetData sheetId="1">
        <row r="27">
          <cell r="G27">
            <v>24560.432299999957</v>
          </cell>
        </row>
      </sheetData>
      <sheetData sheetId="4">
        <row r="4">
          <cell r="A4" t="str">
            <v>For the period ended 31 January 2007</v>
          </cell>
        </row>
        <row r="11">
          <cell r="D11">
            <v>51991</v>
          </cell>
          <cell r="H11">
            <v>211228</v>
          </cell>
        </row>
        <row r="15">
          <cell r="D15">
            <v>-679</v>
          </cell>
          <cell r="H15">
            <v>1137</v>
          </cell>
        </row>
        <row r="19">
          <cell r="D19">
            <v>-244</v>
          </cell>
          <cell r="H19">
            <v>-1027</v>
          </cell>
        </row>
        <row r="21">
          <cell r="D21">
            <v>287</v>
          </cell>
          <cell r="H21">
            <v>1623</v>
          </cell>
        </row>
        <row r="25">
          <cell r="D25">
            <v>-922</v>
          </cell>
          <cell r="H25">
            <v>-4485</v>
          </cell>
        </row>
        <row r="29">
          <cell r="D29">
            <v>-1707</v>
          </cell>
          <cell r="H29">
            <v>-8623</v>
          </cell>
        </row>
        <row r="33">
          <cell r="D33">
            <v>5.41</v>
          </cell>
          <cell r="H33">
            <v>22.95</v>
          </cell>
        </row>
        <row r="35">
          <cell r="D35">
            <v>5.4</v>
          </cell>
          <cell r="H35">
            <v>22.94</v>
          </cell>
        </row>
      </sheetData>
      <sheetData sheetId="5">
        <row r="4">
          <cell r="A4" t="str">
            <v>As at 31 January 2007</v>
          </cell>
        </row>
        <row r="9">
          <cell r="D9" t="str">
            <v>31-Jan 2007</v>
          </cell>
        </row>
        <row r="27">
          <cell r="F27">
            <v>21870</v>
          </cell>
        </row>
      </sheetData>
      <sheetData sheetId="6">
        <row r="10">
          <cell r="B10" t="str">
            <v>12 months ended 31 January 2006</v>
          </cell>
        </row>
        <row r="12">
          <cell r="B12" t="str">
            <v>Balance at 1 February 2005</v>
          </cell>
        </row>
        <row r="15">
          <cell r="F15">
            <v>119</v>
          </cell>
          <cell r="H15">
            <v>-119</v>
          </cell>
        </row>
        <row r="16">
          <cell r="E16">
            <v>0</v>
          </cell>
          <cell r="G16">
            <v>108</v>
          </cell>
        </row>
        <row r="17">
          <cell r="H17">
            <v>12176</v>
          </cell>
        </row>
        <row r="19">
          <cell r="B19" t="str">
            <v>Balance at 31 January 2006</v>
          </cell>
        </row>
        <row r="21">
          <cell r="B21" t="str">
            <v>12 months ended 31 January 2007</v>
          </cell>
        </row>
        <row r="23">
          <cell r="B23" t="str">
            <v>Balance at 1 February 2006</v>
          </cell>
          <cell r="E23">
            <v>377</v>
          </cell>
          <cell r="F23">
            <v>583</v>
          </cell>
          <cell r="H23">
            <v>11060.1</v>
          </cell>
        </row>
        <row r="25">
          <cell r="F25">
            <v>509</v>
          </cell>
          <cell r="H25">
            <v>-509</v>
          </cell>
        </row>
        <row r="26">
          <cell r="C26">
            <v>30</v>
          </cell>
        </row>
        <row r="28">
          <cell r="F28">
            <v>0</v>
          </cell>
        </row>
        <row r="29">
          <cell r="H29">
            <v>13226</v>
          </cell>
        </row>
        <row r="32">
          <cell r="B32" t="str">
            <v>Balance at 31 January 2007</v>
          </cell>
        </row>
      </sheetData>
      <sheetData sheetId="7">
        <row r="13">
          <cell r="D13">
            <v>53020</v>
          </cell>
          <cell r="E13">
            <v>3704</v>
          </cell>
          <cell r="F13">
            <v>377</v>
          </cell>
          <cell r="G13">
            <v>464</v>
          </cell>
          <cell r="H13">
            <v>515</v>
          </cell>
          <cell r="I13">
            <v>-997</v>
          </cell>
        </row>
        <row r="16">
          <cell r="A16" t="str">
            <v>Transfer from retained profit to capital reverse</v>
          </cell>
        </row>
        <row r="18">
          <cell r="A18" t="str">
            <v>Currency translation differences</v>
          </cell>
        </row>
        <row r="25">
          <cell r="D25">
            <v>53076</v>
          </cell>
          <cell r="E25">
            <v>3715</v>
          </cell>
        </row>
        <row r="33">
          <cell r="F33">
            <v>0</v>
          </cell>
        </row>
      </sheetData>
      <sheetData sheetId="9">
        <row r="20">
          <cell r="G20">
            <v>3.74</v>
          </cell>
        </row>
        <row r="22">
          <cell r="G22">
            <v>24.9</v>
          </cell>
        </row>
      </sheetData>
      <sheetData sheetId="10">
        <row r="25">
          <cell r="I25">
            <v>3.7307960686618276</v>
          </cell>
          <cell r="K25">
            <v>24.826967622159614</v>
          </cell>
        </row>
      </sheetData>
      <sheetData sheetId="15">
        <row r="9">
          <cell r="Y9">
            <v>215726.1627</v>
          </cell>
          <cell r="AA9">
            <v>48943.81364999997</v>
          </cell>
        </row>
        <row r="13">
          <cell r="Y13">
            <v>-159737.81070000003</v>
          </cell>
          <cell r="AA13">
            <v>-39254.63665000003</v>
          </cell>
        </row>
        <row r="14">
          <cell r="Y14">
            <v>-16006.757</v>
          </cell>
          <cell r="AA14">
            <v>-1995.5119999999988</v>
          </cell>
        </row>
        <row r="30">
          <cell r="Y30">
            <v>3</v>
          </cell>
        </row>
        <row r="33">
          <cell r="Y33">
            <v>3244.690200000001</v>
          </cell>
          <cell r="AA33">
            <v>780.02</v>
          </cell>
        </row>
        <row r="44">
          <cell r="Y44">
            <v>17294.396</v>
          </cell>
          <cell r="AA44">
            <v>3869.5933000000005</v>
          </cell>
        </row>
        <row r="48">
          <cell r="Y48">
            <v>215.979</v>
          </cell>
          <cell r="AA48">
            <v>51.44800000000001</v>
          </cell>
        </row>
        <row r="49">
          <cell r="Y49">
            <v>761.87</v>
          </cell>
          <cell r="AA49">
            <v>163.40700000000004</v>
          </cell>
        </row>
        <row r="50">
          <cell r="Y50">
            <v>146.165</v>
          </cell>
          <cell r="AA50">
            <v>37.54599999999999</v>
          </cell>
        </row>
        <row r="53">
          <cell r="Y53">
            <v>0</v>
          </cell>
          <cell r="AA53">
            <v>0</v>
          </cell>
        </row>
        <row r="54">
          <cell r="Y54">
            <v>0</v>
          </cell>
          <cell r="AA54">
            <v>0</v>
          </cell>
        </row>
        <row r="55">
          <cell r="AA55">
            <v>0</v>
          </cell>
        </row>
        <row r="58">
          <cell r="Y58">
            <v>1528.0460000000005</v>
          </cell>
          <cell r="AA58">
            <v>349.7357000000002</v>
          </cell>
        </row>
        <row r="60">
          <cell r="Y60">
            <v>0</v>
          </cell>
          <cell r="AA60">
            <v>0</v>
          </cell>
        </row>
        <row r="61">
          <cell r="Y61">
            <v>1280.2894999999999</v>
          </cell>
          <cell r="AA61">
            <v>450.8014999999998</v>
          </cell>
        </row>
        <row r="72">
          <cell r="Y72">
            <v>0</v>
          </cell>
          <cell r="AA72">
            <v>0</v>
          </cell>
        </row>
        <row r="75">
          <cell r="U75">
            <v>477.393</v>
          </cell>
        </row>
        <row r="76">
          <cell r="U76">
            <v>-3726.131</v>
          </cell>
          <cell r="X76">
            <v>33.6</v>
          </cell>
          <cell r="Y76">
            <v>-3368.596</v>
          </cell>
          <cell r="AA76">
            <v>-738.5400000000004</v>
          </cell>
        </row>
        <row r="81">
          <cell r="Y81">
            <v>-7966.833</v>
          </cell>
          <cell r="AA81">
            <v>-1726.9169999999995</v>
          </cell>
        </row>
        <row r="83">
          <cell r="Y83">
            <v>13224.689699999952</v>
          </cell>
          <cell r="AA83">
            <v>1987.2994999999355</v>
          </cell>
        </row>
      </sheetData>
      <sheetData sheetId="17">
        <row r="9">
          <cell r="Z9">
            <v>53760.176999999996</v>
          </cell>
        </row>
        <row r="11">
          <cell r="Z11">
            <v>2844.8</v>
          </cell>
        </row>
        <row r="13">
          <cell r="Z13">
            <v>2009.253</v>
          </cell>
        </row>
        <row r="19">
          <cell r="Z19">
            <v>1.0913936421275139E-11</v>
          </cell>
        </row>
        <row r="20">
          <cell r="Z20">
            <v>10581.3957</v>
          </cell>
        </row>
        <row r="29">
          <cell r="Z29">
            <v>26861.159</v>
          </cell>
        </row>
        <row r="30">
          <cell r="Z30">
            <v>30879.425</v>
          </cell>
        </row>
        <row r="31">
          <cell r="Z31">
            <v>0</v>
          </cell>
        </row>
        <row r="32">
          <cell r="Z32">
            <v>4734.410689999997</v>
          </cell>
        </row>
        <row r="33">
          <cell r="Z33">
            <v>1426.348</v>
          </cell>
        </row>
        <row r="36">
          <cell r="Z36">
            <v>0</v>
          </cell>
        </row>
        <row r="39">
          <cell r="W39">
            <v>36515.559</v>
          </cell>
          <cell r="Z39">
            <v>36515.559</v>
          </cell>
        </row>
        <row r="40">
          <cell r="W40">
            <v>9533.938</v>
          </cell>
          <cell r="Z40">
            <v>9533.938</v>
          </cell>
        </row>
        <row r="46">
          <cell r="Z46">
            <v>11610.501000000002</v>
          </cell>
        </row>
        <row r="47">
          <cell r="Z47">
            <v>9694.483</v>
          </cell>
        </row>
        <row r="49">
          <cell r="Z49">
            <v>0</v>
          </cell>
        </row>
        <row r="54">
          <cell r="Z54">
            <v>2000</v>
          </cell>
        </row>
        <row r="55">
          <cell r="Z55">
            <v>1140</v>
          </cell>
        </row>
        <row r="57">
          <cell r="Z57">
            <v>61.547</v>
          </cell>
        </row>
        <row r="58">
          <cell r="Z58">
            <v>0</v>
          </cell>
        </row>
        <row r="69">
          <cell r="Z69">
            <v>53105.89999999997</v>
          </cell>
        </row>
        <row r="71">
          <cell r="Z71">
            <v>11062.193549999993</v>
          </cell>
        </row>
        <row r="72">
          <cell r="Z72">
            <v>13224.689699999988</v>
          </cell>
        </row>
        <row r="73">
          <cell r="Z73">
            <v>-509.341</v>
          </cell>
        </row>
        <row r="74">
          <cell r="Z74">
            <v>3715.075</v>
          </cell>
        </row>
        <row r="76">
          <cell r="Z76">
            <v>376.68799999999464</v>
          </cell>
        </row>
        <row r="77">
          <cell r="Z77">
            <v>1091.784</v>
          </cell>
        </row>
        <row r="78">
          <cell r="Z78">
            <v>2084.46</v>
          </cell>
        </row>
        <row r="80">
          <cell r="Z80">
            <v>0</v>
          </cell>
        </row>
        <row r="84">
          <cell r="Z84">
            <v>61763.88799999999</v>
          </cell>
        </row>
        <row r="88">
          <cell r="Z88">
            <v>7341.598</v>
          </cell>
        </row>
        <row r="90">
          <cell r="Z90">
            <v>1383</v>
          </cell>
        </row>
      </sheetData>
      <sheetData sheetId="18">
        <row r="6">
          <cell r="E6">
            <v>840000</v>
          </cell>
        </row>
        <row r="7">
          <cell r="D7">
            <v>0</v>
          </cell>
          <cell r="E7">
            <v>29970</v>
          </cell>
        </row>
        <row r="8">
          <cell r="D8">
            <v>0</v>
          </cell>
          <cell r="E8">
            <v>574999.6400000001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3.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6.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8.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9.vml" /><Relationship Id="rId3"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10.vml" /><Relationship Id="rId3"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25"/>
  <sheetViews>
    <sheetView tabSelected="1" workbookViewId="0" topLeftCell="A1">
      <selection activeCell="B8" sqref="B8"/>
    </sheetView>
  </sheetViews>
  <sheetFormatPr defaultColWidth="9.140625" defaultRowHeight="12.75"/>
  <cols>
    <col min="1" max="1" width="36.28125" style="2" customWidth="1"/>
    <col min="2" max="2" width="23.421875" style="2" customWidth="1"/>
    <col min="3" max="3" width="3.8515625" style="2" customWidth="1"/>
    <col min="4" max="4" width="15.8515625" style="2" customWidth="1"/>
    <col min="5" max="5" width="3.28125" style="2" customWidth="1"/>
    <col min="6" max="6" width="15.8515625" style="445" customWidth="1"/>
    <col min="7" max="7" width="8.8515625" style="2" customWidth="1"/>
    <col min="8" max="8" width="11.28125" style="61" customWidth="1"/>
    <col min="9" max="9" width="8.8515625" style="61" customWidth="1"/>
    <col min="10" max="16384" width="8.8515625" style="2" customWidth="1"/>
  </cols>
  <sheetData>
    <row r="1" ht="18.75">
      <c r="A1" s="213" t="s">
        <v>1617</v>
      </c>
    </row>
    <row r="3" spans="1:3" ht="15.75">
      <c r="A3" s="212" t="s">
        <v>1473</v>
      </c>
      <c r="B3" s="60"/>
      <c r="C3" s="60"/>
    </row>
    <row r="4" spans="1:3" ht="15.75">
      <c r="A4" s="212" t="str">
        <f>'[8]Cond BS'!A4</f>
        <v>As at 31 January 2007</v>
      </c>
      <c r="B4" s="60"/>
      <c r="C4" s="60"/>
    </row>
    <row r="6" spans="4:6" ht="12.75">
      <c r="D6" s="198" t="s">
        <v>1358</v>
      </c>
      <c r="E6" s="62"/>
      <c r="F6" s="1083" t="s">
        <v>1360</v>
      </c>
    </row>
    <row r="7" spans="4:6" ht="12.75">
      <c r="D7" s="48" t="s">
        <v>1359</v>
      </c>
      <c r="E7" s="62"/>
      <c r="F7" s="1084" t="s">
        <v>1362</v>
      </c>
    </row>
    <row r="8" spans="4:6" ht="12.75">
      <c r="D8" s="48" t="s">
        <v>614</v>
      </c>
      <c r="E8" s="62"/>
      <c r="F8" s="1084" t="s">
        <v>1361</v>
      </c>
    </row>
    <row r="9" spans="4:6" ht="12.75">
      <c r="D9" s="315" t="str">
        <f>'[8]Cond BS'!D9</f>
        <v>31-Jan 2007</v>
      </c>
      <c r="E9" s="192"/>
      <c r="F9" s="1085">
        <v>38748</v>
      </c>
    </row>
    <row r="10" spans="2:8" ht="12.75">
      <c r="B10" s="171"/>
      <c r="D10" s="196" t="s">
        <v>521</v>
      </c>
      <c r="E10" s="62"/>
      <c r="F10" s="1086" t="s">
        <v>521</v>
      </c>
      <c r="H10" s="873"/>
    </row>
    <row r="11" ht="12.75">
      <c r="A11" s="60" t="s">
        <v>1326</v>
      </c>
    </row>
    <row r="12" ht="12.75">
      <c r="A12" s="60" t="s">
        <v>1327</v>
      </c>
    </row>
    <row r="13" spans="1:8" ht="12.75">
      <c r="A13" s="2" t="s">
        <v>1497</v>
      </c>
      <c r="B13" s="194"/>
      <c r="D13" s="37">
        <f>ROUND('[8]B. Sheet'!Z9,0)</f>
        <v>53760</v>
      </c>
      <c r="E13" s="3"/>
      <c r="F13" s="437">
        <v>50015</v>
      </c>
      <c r="G13" s="22"/>
      <c r="H13" s="175"/>
    </row>
    <row r="14" spans="1:8" ht="12.75">
      <c r="A14" s="2" t="s">
        <v>562</v>
      </c>
      <c r="D14" s="8">
        <f>+'[8]B. Sheet'!Z13</f>
        <v>2009.253</v>
      </c>
      <c r="E14" s="3"/>
      <c r="F14" s="340">
        <v>3018</v>
      </c>
      <c r="G14" s="22"/>
      <c r="H14" s="175"/>
    </row>
    <row r="15" spans="1:10" ht="12.75">
      <c r="A15" s="2" t="s">
        <v>1597</v>
      </c>
      <c r="D15" s="8">
        <f>ROUND('[8]B. Sheet'!Z20,0)</f>
        <v>10581</v>
      </c>
      <c r="E15" s="3"/>
      <c r="F15" s="340">
        <v>8746</v>
      </c>
      <c r="G15" s="22"/>
      <c r="H15" s="175"/>
      <c r="J15" s="1065"/>
    </row>
    <row r="16" spans="1:8" ht="12.75">
      <c r="A16" s="2" t="s">
        <v>704</v>
      </c>
      <c r="D16" s="8">
        <f>ROUND('[8]B. Sheet'!Z11,0)</f>
        <v>2845</v>
      </c>
      <c r="E16" s="3"/>
      <c r="F16" s="340">
        <v>2895</v>
      </c>
      <c r="G16" s="22"/>
      <c r="H16" s="175"/>
    </row>
    <row r="17" spans="4:6" ht="12.75">
      <c r="D17" s="30">
        <f>SUM(D13:D16)</f>
        <v>69195.253</v>
      </c>
      <c r="E17" s="3"/>
      <c r="F17" s="163">
        <f>SUM(F13:F16)</f>
        <v>64674</v>
      </c>
    </row>
    <row r="18" spans="4:6" ht="12.75">
      <c r="D18" s="3"/>
      <c r="E18" s="3"/>
      <c r="F18" s="631"/>
    </row>
    <row r="19" spans="1:6" ht="12.75">
      <c r="A19" s="60" t="s">
        <v>570</v>
      </c>
      <c r="D19" s="3"/>
      <c r="E19" s="3"/>
      <c r="F19" s="631"/>
    </row>
    <row r="20" spans="1:8" ht="12.75">
      <c r="A20" s="2" t="s">
        <v>1160</v>
      </c>
      <c r="B20" s="15"/>
      <c r="C20" s="15"/>
      <c r="D20" s="437">
        <f>ROUND('[8]B. Sheet'!Z29,0)</f>
        <v>26861</v>
      </c>
      <c r="E20" s="3"/>
      <c r="F20" s="437">
        <f>27737+2</f>
        <v>27739</v>
      </c>
      <c r="G20" s="22"/>
      <c r="H20" s="175"/>
    </row>
    <row r="21" spans="1:9" ht="12.75">
      <c r="A21" s="2" t="s">
        <v>1363</v>
      </c>
      <c r="B21" s="15"/>
      <c r="C21" s="15"/>
      <c r="D21" s="340">
        <f>ROUND('[8]B. Sheet'!Z30+'[8]B. Sheet'!Z31+'[8]B. Sheet'!Z32+1+'[8]B. Sheet'!Z36,0)+'[8]B. Sheet'!Z19</f>
        <v>35615.000000000015</v>
      </c>
      <c r="E21" s="3"/>
      <c r="F21" s="340">
        <v>49873</v>
      </c>
      <c r="G21" s="22"/>
      <c r="H21" s="175"/>
      <c r="I21" s="175"/>
    </row>
    <row r="22" spans="1:8" ht="12.75">
      <c r="A22" s="2" t="s">
        <v>1221</v>
      </c>
      <c r="B22" s="15"/>
      <c r="C22" s="15"/>
      <c r="D22" s="8">
        <f>ROUND('[8]B. Sheet'!Z33,0)</f>
        <v>1426</v>
      </c>
      <c r="E22" s="3"/>
      <c r="F22" s="340">
        <v>1148</v>
      </c>
      <c r="G22" s="22"/>
      <c r="H22" s="175"/>
    </row>
    <row r="23" spans="1:8" ht="12.75">
      <c r="A23" s="2" t="s">
        <v>1364</v>
      </c>
      <c r="B23" s="15"/>
      <c r="C23" s="15"/>
      <c r="D23" s="8">
        <f>ROUND('[8]B. Sheet'!Z39+'[8]B. Sheet'!Z40,0)</f>
        <v>46049</v>
      </c>
      <c r="E23" s="3"/>
      <c r="F23" s="340">
        <v>21870</v>
      </c>
      <c r="G23" s="22"/>
      <c r="H23" s="175"/>
    </row>
    <row r="24" spans="1:6" ht="12.75">
      <c r="A24" s="15"/>
      <c r="B24" s="15"/>
      <c r="C24" s="15"/>
      <c r="D24" s="30">
        <f>SUM(D20:D23)</f>
        <v>109951.00000000001</v>
      </c>
      <c r="E24" s="3"/>
      <c r="F24" s="163">
        <f>SUM(F20:F23)</f>
        <v>100630</v>
      </c>
    </row>
    <row r="26" spans="1:6" ht="12.75">
      <c r="A26" s="60"/>
      <c r="D26" s="3"/>
      <c r="E26" s="3"/>
      <c r="F26" s="631"/>
    </row>
    <row r="27" spans="1:6" ht="13.5" thickBot="1">
      <c r="A27" s="641" t="s">
        <v>1328</v>
      </c>
      <c r="B27" s="22"/>
      <c r="C27" s="22"/>
      <c r="D27" s="214">
        <f>D17+D24</f>
        <v>179146.25300000003</v>
      </c>
      <c r="E27" s="215"/>
      <c r="F27" s="1087">
        <f>F17+F24</f>
        <v>165304</v>
      </c>
    </row>
    <row r="28" spans="4:6" ht="13.5" thickTop="1">
      <c r="D28" s="3"/>
      <c r="E28" s="3"/>
      <c r="F28" s="631"/>
    </row>
    <row r="29" spans="4:6" ht="12.75">
      <c r="D29" s="3"/>
      <c r="E29" s="3"/>
      <c r="F29" s="631"/>
    </row>
    <row r="30" spans="1:6" ht="12.75">
      <c r="A30" s="60"/>
      <c r="D30" s="3"/>
      <c r="E30" s="3"/>
      <c r="F30" s="631"/>
    </row>
    <row r="31" spans="1:8" ht="12.75">
      <c r="A31" s="60" t="s">
        <v>1345</v>
      </c>
      <c r="D31" s="3"/>
      <c r="E31" s="3"/>
      <c r="F31" s="631"/>
      <c r="G31" s="22"/>
      <c r="H31" s="175"/>
    </row>
    <row r="32" spans="1:8" ht="12.75">
      <c r="A32" s="2" t="s">
        <v>312</v>
      </c>
      <c r="D32" s="37">
        <f>ROUND('[8]B. Sheet'!Z69,0)</f>
        <v>53106</v>
      </c>
      <c r="E32" s="45"/>
      <c r="F32" s="437">
        <v>53076</v>
      </c>
      <c r="G32" s="22"/>
      <c r="H32" s="175"/>
    </row>
    <row r="33" spans="1:10" ht="12.75">
      <c r="A33" s="2" t="s">
        <v>342</v>
      </c>
      <c r="D33" s="7">
        <f>ROUND('[8]B. Sheet'!Z71+'[8]B. Sheet'!Z72+'[8]B. Sheet'!Z73+'[8]B. Sheet'!Z74+'[8]B. Sheet'!Z76+'[8]B. Sheet'!Z77+'[8]B. Sheet'!Z78+'[8]B. Sheet'!Z80,0)</f>
        <v>31046</v>
      </c>
      <c r="E33" s="45"/>
      <c r="F33" s="531">
        <f>16358+2</f>
        <v>16360</v>
      </c>
      <c r="G33" s="22"/>
      <c r="H33" s="175"/>
      <c r="J33" s="22"/>
    </row>
    <row r="34" spans="2:8" ht="12.75">
      <c r="B34" s="15"/>
      <c r="C34" s="15"/>
      <c r="D34" s="8">
        <f>SUM(D32:D33)</f>
        <v>84152</v>
      </c>
      <c r="E34" s="3"/>
      <c r="F34" s="340">
        <f>SUM(F32:F33)</f>
        <v>69436</v>
      </c>
      <c r="G34" s="22"/>
      <c r="H34" s="175"/>
    </row>
    <row r="35" spans="2:8" ht="12.75">
      <c r="B35" s="15"/>
      <c r="C35" s="15"/>
      <c r="D35" s="8"/>
      <c r="E35" s="3"/>
      <c r="F35" s="340"/>
      <c r="G35" s="22"/>
      <c r="H35" s="175"/>
    </row>
    <row r="36" spans="1:9" ht="12.75">
      <c r="A36" s="60" t="s">
        <v>1368</v>
      </c>
      <c r="D36" s="8">
        <f>ROUND('[8]B. Sheet'!Z84,0)</f>
        <v>61764</v>
      </c>
      <c r="E36" s="3"/>
      <c r="F36" s="340">
        <v>53797</v>
      </c>
      <c r="G36" s="22"/>
      <c r="H36" s="175"/>
      <c r="I36" s="175"/>
    </row>
    <row r="37" spans="4:8" ht="12.75">
      <c r="D37" s="33"/>
      <c r="F37" s="1088"/>
      <c r="G37" s="22"/>
      <c r="H37" s="175"/>
    </row>
    <row r="38" spans="1:8" ht="12.75">
      <c r="A38" s="60" t="s">
        <v>758</v>
      </c>
      <c r="D38" s="30">
        <f>SUM(D34:D37)</f>
        <v>145916</v>
      </c>
      <c r="E38" s="215"/>
      <c r="F38" s="163">
        <f>SUM(F34:F37)</f>
        <v>123233</v>
      </c>
      <c r="G38" s="22"/>
      <c r="H38" s="175"/>
    </row>
    <row r="39" spans="4:6" ht="12.75">
      <c r="D39" s="18"/>
      <c r="E39" s="18"/>
      <c r="F39" s="631"/>
    </row>
    <row r="40" spans="1:6" ht="12.75">
      <c r="A40" s="60" t="s">
        <v>1346</v>
      </c>
      <c r="D40" s="3"/>
      <c r="E40" s="3"/>
      <c r="F40" s="631"/>
    </row>
    <row r="41" spans="1:8" ht="12.75">
      <c r="A41" s="2" t="s">
        <v>1548</v>
      </c>
      <c r="B41" s="194"/>
      <c r="D41" s="37">
        <f>ROUND('[8]B. Sheet'!Z88,0)</f>
        <v>7342</v>
      </c>
      <c r="E41" s="3"/>
      <c r="F41" s="437">
        <v>8457</v>
      </c>
      <c r="G41" s="22"/>
      <c r="H41" s="175"/>
    </row>
    <row r="42" spans="1:8" ht="12.75">
      <c r="A42" s="2" t="s">
        <v>1161</v>
      </c>
      <c r="D42" s="7">
        <f>ROUND('[8]B. Sheet'!Z90,0)</f>
        <v>1383</v>
      </c>
      <c r="E42" s="3"/>
      <c r="F42" s="531">
        <v>1342</v>
      </c>
      <c r="G42" s="22"/>
      <c r="H42" s="175"/>
    </row>
    <row r="43" spans="1:8" ht="12.75">
      <c r="A43" s="15"/>
      <c r="D43" s="7">
        <f>SUM(D41:D42)</f>
        <v>8725</v>
      </c>
      <c r="E43" s="3"/>
      <c r="F43" s="531">
        <f>SUM(F41:F42)</f>
        <v>9799</v>
      </c>
      <c r="G43" s="22"/>
      <c r="H43" s="175"/>
    </row>
    <row r="44" spans="4:6" ht="12.75">
      <c r="D44" s="18"/>
      <c r="E44" s="18"/>
      <c r="F44" s="631"/>
    </row>
    <row r="45" spans="1:6" ht="12.75">
      <c r="A45" s="60" t="s">
        <v>602</v>
      </c>
      <c r="D45" s="3"/>
      <c r="E45" s="3"/>
      <c r="F45" s="631"/>
    </row>
    <row r="46" spans="1:8" ht="12.75">
      <c r="A46" s="2" t="s">
        <v>1366</v>
      </c>
      <c r="D46" s="437">
        <f>ROUND('[8]B. Sheet'!Z46+'[8]B. Sheet'!Z47+'[8]B. Sheet'!Z49+'[8]B. Sheet'!Z58,0)-2</f>
        <v>21303</v>
      </c>
      <c r="E46" s="3"/>
      <c r="F46" s="437">
        <v>28361</v>
      </c>
      <c r="G46" s="22"/>
      <c r="H46" s="175"/>
    </row>
    <row r="47" spans="1:8" ht="12.75">
      <c r="A47" s="2" t="s">
        <v>1548</v>
      </c>
      <c r="B47" s="194"/>
      <c r="C47" s="15"/>
      <c r="D47" s="340">
        <f>ROUND('[8]B. Sheet'!Z54+'[8]B. Sheet'!Z55,0)</f>
        <v>3140</v>
      </c>
      <c r="E47" s="3"/>
      <c r="F47" s="340">
        <v>3430</v>
      </c>
      <c r="G47" s="22"/>
      <c r="H47" s="175"/>
    </row>
    <row r="48" spans="1:8" ht="12.75" hidden="1">
      <c r="A48" s="2" t="s">
        <v>198</v>
      </c>
      <c r="B48" s="194"/>
      <c r="C48" s="15"/>
      <c r="D48" s="340">
        <v>0</v>
      </c>
      <c r="E48" s="3"/>
      <c r="F48" s="340">
        <v>0</v>
      </c>
      <c r="H48" s="175"/>
    </row>
    <row r="49" spans="1:9" ht="12.75">
      <c r="A49" s="2" t="s">
        <v>829</v>
      </c>
      <c r="B49" s="15"/>
      <c r="C49" s="15"/>
      <c r="D49" s="531">
        <f>ROUND('[8]B. Sheet'!Z57,0)</f>
        <v>62</v>
      </c>
      <c r="E49" s="3"/>
      <c r="F49" s="531">
        <v>481</v>
      </c>
      <c r="G49" s="22"/>
      <c r="H49" s="175"/>
      <c r="I49" s="175"/>
    </row>
    <row r="50" spans="1:8" ht="12.75">
      <c r="A50" s="15"/>
      <c r="B50" s="15"/>
      <c r="C50" s="15"/>
      <c r="D50" s="30">
        <f>SUM(D46:D49)</f>
        <v>24505</v>
      </c>
      <c r="E50" s="3"/>
      <c r="F50" s="163">
        <f>SUM(F46:F49)</f>
        <v>32272</v>
      </c>
      <c r="G50" s="22"/>
      <c r="H50" s="175"/>
    </row>
    <row r="51" spans="1:8" ht="12.75">
      <c r="A51" s="15"/>
      <c r="B51" s="15"/>
      <c r="C51" s="15"/>
      <c r="D51" s="45"/>
      <c r="E51" s="3"/>
      <c r="F51" s="628"/>
      <c r="G51" s="22"/>
      <c r="H51" s="175"/>
    </row>
    <row r="52" spans="1:8" ht="12.75">
      <c r="A52" s="60" t="s">
        <v>1347</v>
      </c>
      <c r="B52" s="15"/>
      <c r="C52" s="15"/>
      <c r="D52" s="45">
        <f>D43+D50</f>
        <v>33230</v>
      </c>
      <c r="E52" s="3"/>
      <c r="F52" s="628">
        <f>F43+F50</f>
        <v>42071</v>
      </c>
      <c r="G52" s="22"/>
      <c r="H52" s="175"/>
    </row>
    <row r="53" spans="1:8" ht="12.75">
      <c r="A53" s="15"/>
      <c r="B53" s="15"/>
      <c r="C53" s="15"/>
      <c r="D53" s="45"/>
      <c r="E53" s="3"/>
      <c r="F53" s="628"/>
      <c r="G53" s="22"/>
      <c r="H53" s="175"/>
    </row>
    <row r="54" spans="1:8" ht="13.5" thickBot="1">
      <c r="A54" s="60" t="s">
        <v>1349</v>
      </c>
      <c r="B54" s="15"/>
      <c r="C54" s="15"/>
      <c r="D54" s="214">
        <f>D38+D43+D50</f>
        <v>179146</v>
      </c>
      <c r="E54" s="3"/>
      <c r="F54" s="1087">
        <f>F38+F43+F50</f>
        <v>165304</v>
      </c>
      <c r="G54" s="22"/>
      <c r="H54" s="175"/>
    </row>
    <row r="55" spans="1:7" ht="13.5" thickTop="1">
      <c r="A55" s="60"/>
      <c r="B55" s="15"/>
      <c r="C55" s="15"/>
      <c r="D55" s="642"/>
      <c r="E55" s="3"/>
      <c r="F55" s="1089"/>
      <c r="G55" s="22"/>
    </row>
    <row r="56" spans="1:7" ht="12.75">
      <c r="A56" s="2" t="s">
        <v>705</v>
      </c>
      <c r="B56" s="15"/>
      <c r="C56" s="15"/>
      <c r="D56" s="643">
        <f>D34/D32</f>
        <v>1.5846043761533537</v>
      </c>
      <c r="E56" s="3"/>
      <c r="F56" s="1090">
        <f>F34/F32</f>
        <v>1.3082372447057051</v>
      </c>
      <c r="G56" s="22"/>
    </row>
    <row r="57" spans="1:7" ht="12.75">
      <c r="A57" s="15"/>
      <c r="B57" s="15"/>
      <c r="C57" s="15"/>
      <c r="D57" s="45"/>
      <c r="E57" s="3"/>
      <c r="F57" s="628"/>
      <c r="G57" s="22"/>
    </row>
    <row r="58" spans="1:6" ht="12.75">
      <c r="A58" s="15"/>
      <c r="B58" s="15"/>
      <c r="C58" s="15"/>
      <c r="D58" s="45"/>
      <c r="E58" s="3"/>
      <c r="F58" s="628"/>
    </row>
    <row r="59" spans="4:6" ht="12.75">
      <c r="D59" s="18"/>
      <c r="E59" s="18"/>
      <c r="F59" s="631"/>
    </row>
    <row r="60" spans="4:17" ht="12.75">
      <c r="D60" s="18"/>
      <c r="E60" s="18"/>
      <c r="F60" s="631"/>
      <c r="Q60" s="21"/>
    </row>
    <row r="61" spans="4:6" ht="12.75">
      <c r="D61" s="18"/>
      <c r="E61" s="18"/>
      <c r="F61" s="631"/>
    </row>
    <row r="62" spans="4:6" ht="12.75">
      <c r="D62" s="18"/>
      <c r="E62" s="18"/>
      <c r="F62" s="631"/>
    </row>
    <row r="63" spans="4:6" ht="12.75">
      <c r="D63" s="178"/>
      <c r="E63" s="18"/>
      <c r="F63" s="1091"/>
    </row>
    <row r="64" spans="4:6" ht="12.75">
      <c r="D64" s="18"/>
      <c r="E64" s="18"/>
      <c r="F64" s="631"/>
    </row>
    <row r="65" spans="1:6" ht="12.75" hidden="1">
      <c r="A65" s="174" t="s">
        <v>1437</v>
      </c>
      <c r="D65" s="342">
        <f>D27-D54</f>
        <v>0.25300000002607703</v>
      </c>
      <c r="E65" s="174"/>
      <c r="F65" s="631">
        <f>F27-F54</f>
        <v>0</v>
      </c>
    </row>
    <row r="66" spans="4:6" ht="12.75" hidden="1">
      <c r="D66" s="15"/>
      <c r="E66" s="15"/>
      <c r="F66" s="1092"/>
    </row>
    <row r="67" spans="1:6" ht="12.75" hidden="1">
      <c r="A67" s="15" t="s">
        <v>192</v>
      </c>
      <c r="D67" s="258">
        <f>+ROUND('[8]B. Sheet'!W39,0)</f>
        <v>36516</v>
      </c>
      <c r="E67" s="258"/>
      <c r="F67" s="1093">
        <v>15780</v>
      </c>
    </row>
    <row r="68" spans="1:6" ht="12.75" hidden="1">
      <c r="A68" s="15" t="s">
        <v>191</v>
      </c>
      <c r="D68" s="258">
        <f>ROUND('[8]B. Sheet'!W40,0)</f>
        <v>9534</v>
      </c>
      <c r="E68" s="258"/>
      <c r="F68" s="1093">
        <v>3400</v>
      </c>
    </row>
    <row r="69" spans="1:6" ht="12.75" hidden="1">
      <c r="A69" s="15"/>
      <c r="D69" s="259">
        <f>SUM(D67:D68)</f>
        <v>46050</v>
      </c>
      <c r="E69" s="15"/>
      <c r="F69" s="1094">
        <f>SUM(F67:F68)</f>
        <v>19180</v>
      </c>
    </row>
    <row r="70" spans="1:6" ht="12.75" hidden="1">
      <c r="A70" s="15" t="s">
        <v>190</v>
      </c>
      <c r="D70" s="320">
        <v>0</v>
      </c>
      <c r="E70" s="15"/>
      <c r="F70" s="1095"/>
    </row>
    <row r="71" spans="1:6" ht="13.5" hidden="1" thickBot="1">
      <c r="A71" s="15" t="s">
        <v>1364</v>
      </c>
      <c r="D71" s="260">
        <f>SUM(D69:D70)</f>
        <v>46050</v>
      </c>
      <c r="E71" s="15"/>
      <c r="F71" s="1096">
        <f>SUM(F69:F70)</f>
        <v>19180</v>
      </c>
    </row>
    <row r="72" spans="4:6" ht="12.75" hidden="1">
      <c r="D72" s="15"/>
      <c r="E72" s="15"/>
      <c r="F72" s="1092"/>
    </row>
    <row r="73" spans="4:6" ht="12.75" hidden="1">
      <c r="D73" s="15"/>
      <c r="E73" s="15"/>
      <c r="F73" s="1092"/>
    </row>
    <row r="74" spans="4:6" ht="12.75" hidden="1">
      <c r="D74" s="15"/>
      <c r="E74" s="15"/>
      <c r="F74" s="1092"/>
    </row>
    <row r="75" spans="1:6" s="61" customFormat="1" ht="12.75" hidden="1">
      <c r="A75" s="302"/>
      <c r="D75" s="303"/>
      <c r="F75" s="623"/>
    </row>
    <row r="76" spans="1:6" s="61" customFormat="1" ht="13.5" hidden="1">
      <c r="A76" s="218" t="s">
        <v>829</v>
      </c>
      <c r="B76" s="2"/>
      <c r="C76" s="2"/>
      <c r="D76" s="2"/>
      <c r="F76" s="623"/>
    </row>
    <row r="77" spans="1:6" s="61" customFormat="1" ht="12.75" hidden="1">
      <c r="A77" s="15" t="s">
        <v>1505</v>
      </c>
      <c r="B77" s="15"/>
      <c r="C77" s="15"/>
      <c r="D77" s="217">
        <f>ROUND(F49-F22,0)</f>
        <v>-667</v>
      </c>
      <c r="F77" s="623"/>
    </row>
    <row r="78" spans="1:6" s="61" customFormat="1" ht="12.75" hidden="1">
      <c r="A78" s="15" t="s">
        <v>1506</v>
      </c>
      <c r="C78" s="15"/>
      <c r="D78" s="258">
        <f>+ROUND(-'[8]P&amp;L'!U76-'[8]P&amp;L'!U75-'[8]P&amp;L'!X76,0)</f>
        <v>3215</v>
      </c>
      <c r="F78" s="628"/>
    </row>
    <row r="79" spans="2:6" s="61" customFormat="1" ht="12.75" hidden="1">
      <c r="B79" s="15"/>
      <c r="C79" s="15"/>
      <c r="D79" s="259">
        <f>SUM(D77:D78)</f>
        <v>2548</v>
      </c>
      <c r="F79" s="628"/>
    </row>
    <row r="80" spans="1:6" s="61" customFormat="1" ht="12.75" hidden="1">
      <c r="A80" s="15" t="s">
        <v>1507</v>
      </c>
      <c r="B80" s="15"/>
      <c r="C80" s="15"/>
      <c r="D80" s="217">
        <f>+D81-D79</f>
        <v>-3912</v>
      </c>
      <c r="F80" s="628"/>
    </row>
    <row r="81" spans="1:6" s="61" customFormat="1" ht="13.5" hidden="1" thickBot="1">
      <c r="A81" s="15" t="s">
        <v>1508</v>
      </c>
      <c r="C81" s="15"/>
      <c r="D81" s="260">
        <f>ROUND(D49-D22,0)</f>
        <v>-1364</v>
      </c>
      <c r="F81" s="628"/>
    </row>
    <row r="82" s="61" customFormat="1" ht="12.75" hidden="1">
      <c r="F82" s="623"/>
    </row>
    <row r="83" spans="1:6" s="61" customFormat="1" ht="12.75" hidden="1">
      <c r="A83" s="2"/>
      <c r="B83" s="2"/>
      <c r="F83" s="623"/>
    </row>
    <row r="84" spans="1:4" ht="12.75" hidden="1">
      <c r="A84" s="323" t="s">
        <v>226</v>
      </c>
      <c r="B84" s="174"/>
      <c r="C84" s="174"/>
      <c r="D84" s="174"/>
    </row>
    <row r="85" spans="1:4" ht="12.75" hidden="1">
      <c r="A85" s="174"/>
      <c r="B85" s="174"/>
      <c r="C85" s="174"/>
      <c r="D85" s="174"/>
    </row>
    <row r="86" spans="1:4" ht="12.75" hidden="1">
      <c r="A86" s="323" t="s">
        <v>920</v>
      </c>
      <c r="B86" s="323"/>
      <c r="C86" s="323"/>
      <c r="D86" s="324"/>
    </row>
    <row r="87" spans="1:4" ht="12.75" hidden="1">
      <c r="A87" s="323" t="s">
        <v>350</v>
      </c>
      <c r="B87" s="323"/>
      <c r="C87" s="323"/>
      <c r="D87" s="324"/>
    </row>
    <row r="88" spans="1:4" ht="12.75" hidden="1">
      <c r="A88" s="323" t="s">
        <v>227</v>
      </c>
      <c r="C88" s="323"/>
      <c r="D88" s="324"/>
    </row>
    <row r="89" spans="1:4" ht="12.75" hidden="1">
      <c r="A89" s="323" t="s">
        <v>244</v>
      </c>
      <c r="C89" s="323"/>
      <c r="D89" s="324"/>
    </row>
    <row r="90" spans="1:4" ht="12.75" hidden="1">
      <c r="A90" s="323" t="s">
        <v>245</v>
      </c>
      <c r="C90" s="323"/>
      <c r="D90" s="324"/>
    </row>
    <row r="91" spans="1:4" ht="12.75" hidden="1">
      <c r="A91" s="323" t="s">
        <v>336</v>
      </c>
      <c r="B91" s="323"/>
      <c r="C91" s="323"/>
      <c r="D91" s="324"/>
    </row>
    <row r="92" spans="1:6" ht="13.5" hidden="1" thickBot="1">
      <c r="A92" s="323"/>
      <c r="B92" s="323"/>
      <c r="C92" s="323"/>
      <c r="D92" s="328">
        <f>SUM(D86:D91)</f>
        <v>0</v>
      </c>
      <c r="F92" s="866"/>
    </row>
    <row r="93" ht="12.75" hidden="1">
      <c r="D93" s="1"/>
    </row>
    <row r="94" ht="12.75" hidden="1">
      <c r="D94" s="1"/>
    </row>
    <row r="95" spans="1:6" ht="15" hidden="1">
      <c r="A95" s="323" t="s">
        <v>228</v>
      </c>
      <c r="D95" s="333" t="s">
        <v>241</v>
      </c>
      <c r="E95" s="334"/>
      <c r="F95" s="1097" t="s">
        <v>52</v>
      </c>
    </row>
    <row r="96" spans="1:6" ht="12.75" hidden="1">
      <c r="A96" s="323" t="s">
        <v>350</v>
      </c>
      <c r="D96" s="324">
        <f>277-31.031</f>
        <v>245.969</v>
      </c>
      <c r="F96" s="1098">
        <v>155</v>
      </c>
    </row>
    <row r="97" spans="1:6" ht="12.75" hidden="1">
      <c r="A97" s="323" t="s">
        <v>920</v>
      </c>
      <c r="D97" s="324">
        <f>3721+51.369</f>
        <v>3772.369</v>
      </c>
      <c r="F97" s="1098">
        <v>1158.934</v>
      </c>
    </row>
    <row r="98" spans="1:6" ht="12.75" hidden="1">
      <c r="A98" s="323" t="s">
        <v>324</v>
      </c>
      <c r="D98" s="324">
        <v>-0.938</v>
      </c>
      <c r="F98" s="1098">
        <v>1.59</v>
      </c>
    </row>
    <row r="99" spans="1:6" ht="12.75" hidden="1">
      <c r="A99" s="323" t="s">
        <v>240</v>
      </c>
      <c r="D99" s="324"/>
      <c r="F99" s="1098">
        <v>107.801</v>
      </c>
    </row>
    <row r="100" spans="1:6" ht="12.75" hidden="1">
      <c r="A100" s="323" t="s">
        <v>331</v>
      </c>
      <c r="D100" s="324"/>
      <c r="F100" s="1098">
        <v>-63</v>
      </c>
    </row>
    <row r="101" spans="1:6" ht="12.75" hidden="1">
      <c r="A101" s="323" t="s">
        <v>320</v>
      </c>
      <c r="D101" s="324"/>
      <c r="F101" s="1098">
        <v>2.833</v>
      </c>
    </row>
    <row r="102" spans="1:6" ht="12.75" hidden="1">
      <c r="A102" s="323" t="s">
        <v>332</v>
      </c>
      <c r="D102" s="324"/>
      <c r="F102" s="1098">
        <v>59.323</v>
      </c>
    </row>
    <row r="103" spans="1:6" ht="12.75" hidden="1">
      <c r="A103" s="323" t="s">
        <v>336</v>
      </c>
      <c r="D103" s="324">
        <v>1.926</v>
      </c>
      <c r="F103" s="1098">
        <v>0.439</v>
      </c>
    </row>
    <row r="104" spans="1:6" ht="13.5" hidden="1" thickBot="1">
      <c r="A104" s="323"/>
      <c r="B104" s="166"/>
      <c r="D104" s="328">
        <f>SUM(D96:D103)</f>
        <v>4019.326</v>
      </c>
      <c r="F104" s="1099">
        <f>SUM(F96:F103)</f>
        <v>1422.92</v>
      </c>
    </row>
    <row r="105" spans="1:4" ht="12.75" hidden="1">
      <c r="A105" s="323"/>
      <c r="D105" s="324"/>
    </row>
    <row r="106" ht="12.75" hidden="1">
      <c r="A106" s="323"/>
    </row>
    <row r="107" ht="12.75" hidden="1">
      <c r="A107" s="15" t="s">
        <v>238</v>
      </c>
    </row>
    <row r="108" spans="1:9" s="15" customFormat="1" ht="12.75" hidden="1">
      <c r="A108" s="15" t="s">
        <v>331</v>
      </c>
      <c r="D108" s="330"/>
      <c r="F108" s="1092"/>
      <c r="H108" s="302"/>
      <c r="I108" s="302"/>
    </row>
    <row r="109" spans="1:9" s="15" customFormat="1" ht="12.75" hidden="1">
      <c r="A109" s="15" t="s">
        <v>320</v>
      </c>
      <c r="D109" s="330"/>
      <c r="F109" s="1092"/>
      <c r="H109" s="302"/>
      <c r="I109" s="302"/>
    </row>
    <row r="110" spans="1:9" s="15" customFormat="1" ht="12.75" hidden="1">
      <c r="A110" s="15" t="s">
        <v>319</v>
      </c>
      <c r="D110" s="330"/>
      <c r="F110" s="1092"/>
      <c r="H110" s="302"/>
      <c r="I110" s="302"/>
    </row>
    <row r="111" spans="1:9" s="15" customFormat="1" ht="12.75" hidden="1">
      <c r="A111" s="15" t="s">
        <v>321</v>
      </c>
      <c r="D111" s="330"/>
      <c r="F111" s="1092"/>
      <c r="H111" s="302"/>
      <c r="I111" s="302"/>
    </row>
    <row r="112" spans="1:9" s="15" customFormat="1" ht="12.75" hidden="1">
      <c r="A112" s="15" t="s">
        <v>323</v>
      </c>
      <c r="D112" s="330"/>
      <c r="F112" s="1092"/>
      <c r="H112" s="302"/>
      <c r="I112" s="302"/>
    </row>
    <row r="113" spans="4:9" s="15" customFormat="1" ht="13.5" hidden="1" thickBot="1">
      <c r="D113" s="331">
        <f>SUM(D108:D112)</f>
        <v>0</v>
      </c>
      <c r="F113" s="1092"/>
      <c r="H113" s="302"/>
      <c r="I113" s="302"/>
    </row>
    <row r="114" spans="6:9" s="15" customFormat="1" ht="12.75" hidden="1">
      <c r="F114" s="1092"/>
      <c r="H114" s="302"/>
      <c r="I114" s="302"/>
    </row>
    <row r="115" spans="1:9" s="15" customFormat="1" ht="12.75" hidden="1">
      <c r="A115" s="15" t="s">
        <v>239</v>
      </c>
      <c r="F115" s="1092"/>
      <c r="H115" s="302"/>
      <c r="I115" s="302"/>
    </row>
    <row r="116" spans="1:9" s="15" customFormat="1" ht="12.75" hidden="1">
      <c r="A116" s="15" t="s">
        <v>236</v>
      </c>
      <c r="D116" s="330">
        <f>+'[8]notes'!D8/1000-'[8]notes'!E8/1000</f>
        <v>-574.9996400000001</v>
      </c>
      <c r="F116" s="1092"/>
      <c r="H116" s="302"/>
      <c r="I116" s="302"/>
    </row>
    <row r="117" spans="1:9" s="15" customFormat="1" ht="12.75" hidden="1">
      <c r="A117" s="15" t="s">
        <v>320</v>
      </c>
      <c r="D117" s="330">
        <f>+'[8]notes'!D7/1000-'[8]notes'!E7/1000</f>
        <v>-29.97</v>
      </c>
      <c r="F117" s="1092"/>
      <c r="H117" s="302"/>
      <c r="I117" s="302"/>
    </row>
    <row r="118" spans="1:9" s="15" customFormat="1" ht="12.75" hidden="1">
      <c r="A118" s="15" t="s">
        <v>318</v>
      </c>
      <c r="D118" s="330">
        <f>-'[8]notes'!E6/1000</f>
        <v>-840</v>
      </c>
      <c r="F118" s="1092"/>
      <c r="H118" s="302"/>
      <c r="I118" s="302"/>
    </row>
    <row r="119" spans="4:9" s="15" customFormat="1" ht="13.5" hidden="1" thickBot="1">
      <c r="D119" s="331">
        <f>SUM(D116:D118)</f>
        <v>-1444.9696400000003</v>
      </c>
      <c r="F119" s="1092"/>
      <c r="H119" s="302"/>
      <c r="I119" s="302"/>
    </row>
    <row r="120" spans="2:4" ht="12.75" hidden="1">
      <c r="B120" s="166"/>
      <c r="D120" s="166"/>
    </row>
    <row r="121" spans="1:4" ht="12.75" hidden="1">
      <c r="A121" s="15" t="s">
        <v>237</v>
      </c>
      <c r="D121" s="330">
        <f>+D113+D119</f>
        <v>-1444.9696400000003</v>
      </c>
    </row>
    <row r="122" ht="12.75" hidden="1"/>
    <row r="123" spans="2:4" ht="12.75" hidden="1">
      <c r="B123" s="323" t="s">
        <v>1437</v>
      </c>
      <c r="D123" s="332">
        <f>+F47+F41-D47-D41+D121</f>
        <v>-39.969640000000254</v>
      </c>
    </row>
    <row r="124" ht="12.75" hidden="1"/>
    <row r="125" ht="12.75" hidden="1">
      <c r="D125" s="166"/>
    </row>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sheetData>
  <printOptions horizontalCentered="1" verticalCentered="1"/>
  <pageMargins left="0.54" right="0.75" top="0.33" bottom="0.26" header="0.31" footer="0.26"/>
  <pageSetup horizontalDpi="600" verticalDpi="600" orientation="portrait" scale="95" r:id="rId2"/>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H22"/>
  <sheetViews>
    <sheetView zoomScale="60" zoomScaleNormal="60" workbookViewId="0" topLeftCell="A1">
      <selection activeCell="H33" sqref="H33"/>
    </sheetView>
  </sheetViews>
  <sheetFormatPr defaultColWidth="9.140625" defaultRowHeight="12.75"/>
  <cols>
    <col min="1" max="1" width="16.28125" style="367" customWidth="1"/>
    <col min="2" max="2" width="3.140625" style="367" customWidth="1"/>
    <col min="3" max="3" width="40.00390625" style="367" customWidth="1"/>
    <col min="4" max="4" width="2.8515625" style="367" customWidth="1"/>
    <col min="5" max="5" width="13.421875" style="367" bestFit="1" customWidth="1"/>
    <col min="6" max="6" width="3.57421875" style="367" customWidth="1"/>
    <col min="7" max="7" width="16.7109375" style="367" bestFit="1" customWidth="1"/>
    <col min="8" max="16384" width="8.8515625" style="367" customWidth="1"/>
  </cols>
  <sheetData>
    <row r="1" ht="12.75">
      <c r="A1" s="379" t="s">
        <v>1303</v>
      </c>
    </row>
    <row r="3" spans="1:7" ht="12.75">
      <c r="A3" s="438" t="s">
        <v>1304</v>
      </c>
      <c r="B3" s="439"/>
      <c r="C3" s="439" t="s">
        <v>1308</v>
      </c>
      <c r="D3" s="439"/>
      <c r="E3" s="438" t="s">
        <v>1082</v>
      </c>
      <c r="F3" s="439"/>
      <c r="G3" s="438" t="s">
        <v>1305</v>
      </c>
    </row>
    <row r="4" spans="1:7" ht="12.75">
      <c r="A4" s="440">
        <v>38384</v>
      </c>
      <c r="C4" s="367" t="s">
        <v>1306</v>
      </c>
      <c r="E4" s="349">
        <f>53020000/1000</f>
        <v>53020</v>
      </c>
      <c r="F4" s="352"/>
      <c r="G4" s="349">
        <f>53020000/1000</f>
        <v>53020</v>
      </c>
    </row>
    <row r="5" spans="5:7" ht="12.75">
      <c r="E5" s="352"/>
      <c r="F5" s="352"/>
      <c r="G5" s="352"/>
    </row>
    <row r="6" spans="1:7" ht="12.75">
      <c r="A6" s="440">
        <v>38470</v>
      </c>
      <c r="C6" s="367" t="s">
        <v>101</v>
      </c>
      <c r="E6" s="349">
        <f>55900/1000</f>
        <v>55.9</v>
      </c>
      <c r="F6" s="352"/>
      <c r="G6" s="349">
        <f>55900/1000</f>
        <v>55.9</v>
      </c>
    </row>
    <row r="7" spans="1:7" ht="12.75">
      <c r="A7" s="440"/>
      <c r="E7" s="349"/>
      <c r="F7" s="352"/>
      <c r="G7" s="349"/>
    </row>
    <row r="8" spans="1:7" ht="12.75">
      <c r="A8" s="440">
        <v>39070</v>
      </c>
      <c r="C8" s="367" t="s">
        <v>691</v>
      </c>
      <c r="E8" s="349">
        <v>30</v>
      </c>
      <c r="F8" s="352"/>
      <c r="G8" s="349">
        <f>+E8</f>
        <v>30</v>
      </c>
    </row>
    <row r="9" spans="5:7" ht="12.75">
      <c r="E9" s="352"/>
      <c r="F9" s="352"/>
      <c r="G9" s="352"/>
    </row>
    <row r="10" spans="1:7" ht="12.75">
      <c r="A10" s="440">
        <v>39113</v>
      </c>
      <c r="C10" s="367" t="s">
        <v>1309</v>
      </c>
      <c r="E10" s="349">
        <f>SUM(E4:E9)</f>
        <v>53105.9</v>
      </c>
      <c r="F10" s="352"/>
      <c r="G10" s="349">
        <f>SUM(G4:G8)</f>
        <v>53105.9</v>
      </c>
    </row>
    <row r="11" spans="5:7" ht="12.75">
      <c r="E11" s="352"/>
      <c r="F11" s="352"/>
      <c r="G11" s="352"/>
    </row>
    <row r="12" spans="5:7" ht="12.75">
      <c r="E12" s="352"/>
      <c r="F12" s="352"/>
      <c r="G12" s="352"/>
    </row>
    <row r="13" spans="1:8" ht="12.75">
      <c r="A13" s="379" t="s">
        <v>108</v>
      </c>
      <c r="E13" s="352"/>
      <c r="F13" s="352"/>
      <c r="G13" s="347">
        <f>(G4*12/12)+(G6*12/12)+(G8*12/12)</f>
        <v>53105.9</v>
      </c>
      <c r="H13" s="367" t="s">
        <v>1310</v>
      </c>
    </row>
    <row r="14" spans="5:7" ht="12.75">
      <c r="E14" s="352"/>
      <c r="F14" s="352"/>
      <c r="G14" s="352"/>
    </row>
    <row r="15" spans="1:7" ht="12.75">
      <c r="A15" s="367" t="s">
        <v>297</v>
      </c>
      <c r="D15" s="574" t="s">
        <v>1312</v>
      </c>
      <c r="E15" s="575" t="s">
        <v>511</v>
      </c>
      <c r="F15" s="575"/>
      <c r="G15" s="578">
        <f>+'P&amp;L'!AA87</f>
        <v>1987.2996999999796</v>
      </c>
    </row>
    <row r="16" spans="1:7" ht="12.75">
      <c r="A16" s="367" t="s">
        <v>1357</v>
      </c>
      <c r="E16" s="352"/>
      <c r="F16" s="352"/>
      <c r="G16" s="352"/>
    </row>
    <row r="17" spans="4:7" ht="12.75">
      <c r="D17" s="441" t="s">
        <v>1312</v>
      </c>
      <c r="E17" s="352" t="s">
        <v>1311</v>
      </c>
      <c r="F17" s="352"/>
      <c r="G17" s="350">
        <f>+'P&amp;L'!Y87</f>
        <v>13224.689699999957</v>
      </c>
    </row>
    <row r="20" spans="1:7" ht="12.75">
      <c r="A20" s="367" t="s">
        <v>1313</v>
      </c>
      <c r="D20" s="574" t="s">
        <v>1312</v>
      </c>
      <c r="E20" s="575" t="s">
        <v>511</v>
      </c>
      <c r="F20" s="576"/>
      <c r="G20" s="577">
        <f>ROUND(+G15/G13*100,2)</f>
        <v>3.74</v>
      </c>
    </row>
    <row r="21" ht="12.75">
      <c r="E21" s="352"/>
    </row>
    <row r="22" spans="4:7" ht="12.75">
      <c r="D22" s="441" t="s">
        <v>1312</v>
      </c>
      <c r="E22" s="352" t="s">
        <v>1311</v>
      </c>
      <c r="G22" s="419">
        <f>ROUND(+G17/G13*100,2)</f>
        <v>24.9</v>
      </c>
    </row>
  </sheetData>
  <printOptions/>
  <pageMargins left="0.75" right="0.25" top="0.75" bottom="0.25" header="0.5" footer="0.25"/>
  <pageSetup fitToHeight="1" fitToWidth="1" horizontalDpi="300" verticalDpi="300" orientation="portrait" paperSize="9" scale="90" r:id="rId1"/>
  <headerFooter alignWithMargins="0">
    <oddHeader>&amp;R&amp;D  &amp;T</oddHeader>
    <oddFooter>&amp;R&amp;P of &amp;N</oddFooter>
  </headerFooter>
</worksheet>
</file>

<file path=xl/worksheets/sheet11.xml><?xml version="1.0" encoding="utf-8"?>
<worksheet xmlns="http://schemas.openxmlformats.org/spreadsheetml/2006/main" xmlns:r="http://schemas.openxmlformats.org/officeDocument/2006/relationships">
  <sheetPr>
    <tabColor indexed="45"/>
  </sheetPr>
  <dimension ref="A1:N28"/>
  <sheetViews>
    <sheetView zoomScale="75" zoomScaleNormal="75" workbookViewId="0" topLeftCell="A1">
      <selection activeCell="I37" sqref="I37"/>
    </sheetView>
  </sheetViews>
  <sheetFormatPr defaultColWidth="9.140625" defaultRowHeight="12.75"/>
  <cols>
    <col min="1" max="1" width="2.7109375" style="367" customWidth="1"/>
    <col min="2" max="2" width="13.421875" style="367" customWidth="1"/>
    <col min="3" max="3" width="6.28125" style="367" bestFit="1" customWidth="1"/>
    <col min="4" max="4" width="12.8515625" style="367" bestFit="1" customWidth="1"/>
    <col min="5" max="5" width="2.7109375" style="367" customWidth="1"/>
    <col min="6" max="6" width="7.421875" style="367" customWidth="1"/>
    <col min="7" max="7" width="14.00390625" style="367" customWidth="1"/>
    <col min="8" max="8" width="17.7109375" style="367" customWidth="1"/>
    <col min="9" max="9" width="17.00390625" style="367" customWidth="1"/>
    <col min="10" max="10" width="2.57421875" style="367" customWidth="1"/>
    <col min="11" max="11" width="15.140625" style="367" customWidth="1"/>
    <col min="12" max="12" width="1.7109375" style="367" bestFit="1" customWidth="1"/>
    <col min="13" max="13" width="2.8515625" style="367" customWidth="1"/>
    <col min="14" max="16384" width="8.8515625" style="367" customWidth="1"/>
  </cols>
  <sheetData>
    <row r="1" spans="2:3" ht="12.75">
      <c r="B1" s="379" t="s">
        <v>1452</v>
      </c>
      <c r="C1" s="379"/>
    </row>
    <row r="2" spans="2:3" ht="12.75">
      <c r="B2" s="379" t="s">
        <v>692</v>
      </c>
      <c r="C2" s="379"/>
    </row>
    <row r="3" spans="2:3" ht="12.75">
      <c r="B3" s="379"/>
      <c r="C3" s="379"/>
    </row>
    <row r="4" spans="9:11" ht="12.75">
      <c r="I4" s="390" t="s">
        <v>511</v>
      </c>
      <c r="K4" s="390" t="s">
        <v>1311</v>
      </c>
    </row>
    <row r="5" spans="8:11" ht="12.75">
      <c r="H5" s="352"/>
      <c r="I5" s="352"/>
      <c r="J5" s="352"/>
      <c r="K5" s="352"/>
    </row>
    <row r="6" spans="2:11" ht="13.5" thickBot="1">
      <c r="B6" s="367" t="s">
        <v>172</v>
      </c>
      <c r="H6" s="352"/>
      <c r="I6" s="606">
        <f>'P&amp;L'!AA83*1000</f>
        <v>1987299.6999999795</v>
      </c>
      <c r="J6" s="352"/>
      <c r="K6" s="606">
        <f>'P&amp;L'!Y87*1000</f>
        <v>13224689.699999956</v>
      </c>
    </row>
    <row r="7" spans="8:11" ht="12.75">
      <c r="H7" s="352"/>
      <c r="I7" s="352"/>
      <c r="J7" s="352"/>
      <c r="K7" s="352"/>
    </row>
    <row r="8" spans="2:11" ht="13.5" thickBot="1">
      <c r="B8" s="367" t="s">
        <v>109</v>
      </c>
      <c r="H8" s="610" t="s">
        <v>696</v>
      </c>
      <c r="I8" s="611">
        <f>K8</f>
        <v>53267438.461538464</v>
      </c>
      <c r="J8" s="610"/>
      <c r="K8" s="607">
        <f>K11+K12+K21+K13</f>
        <v>53267438.461538464</v>
      </c>
    </row>
    <row r="9" spans="8:11" ht="12.75">
      <c r="H9" s="352"/>
      <c r="I9" s="352"/>
      <c r="J9" s="352"/>
      <c r="K9" s="375"/>
    </row>
    <row r="10" spans="1:13" ht="12.75">
      <c r="A10" s="382"/>
      <c r="B10" s="383"/>
      <c r="C10" s="383"/>
      <c r="D10" s="383"/>
      <c r="E10" s="383"/>
      <c r="F10" s="383"/>
      <c r="G10" s="383"/>
      <c r="H10" s="398"/>
      <c r="I10" s="398"/>
      <c r="J10" s="398"/>
      <c r="K10" s="603"/>
      <c r="L10" s="383"/>
      <c r="M10" s="385"/>
    </row>
    <row r="11" spans="1:14" ht="12.75">
      <c r="A11" s="478"/>
      <c r="B11" s="600" t="s">
        <v>110</v>
      </c>
      <c r="C11" s="372" t="s">
        <v>113</v>
      </c>
      <c r="D11" s="372"/>
      <c r="E11" s="372"/>
      <c r="F11" s="372"/>
      <c r="G11" s="372"/>
      <c r="H11" s="374"/>
      <c r="I11" s="374">
        <f>K11</f>
        <v>53020000</v>
      </c>
      <c r="J11" s="374"/>
      <c r="K11" s="452">
        <f>EPS!G4*1000*12/12</f>
        <v>53020000</v>
      </c>
      <c r="L11" s="372"/>
      <c r="M11" s="479" t="s">
        <v>177</v>
      </c>
      <c r="N11" s="372"/>
    </row>
    <row r="12" spans="1:13" ht="12.75">
      <c r="A12" s="478"/>
      <c r="B12" s="601" t="s">
        <v>111</v>
      </c>
      <c r="C12" s="372" t="s">
        <v>693</v>
      </c>
      <c r="D12" s="372"/>
      <c r="E12" s="372"/>
      <c r="F12" s="372"/>
      <c r="G12" s="372"/>
      <c r="H12" s="374"/>
      <c r="I12" s="374">
        <f>K12</f>
        <v>55900</v>
      </c>
      <c r="J12" s="374"/>
      <c r="K12" s="452">
        <f>EPS!G6*1000*12/12</f>
        <v>55900</v>
      </c>
      <c r="L12" s="372"/>
      <c r="M12" s="479" t="s">
        <v>178</v>
      </c>
    </row>
    <row r="13" spans="1:13" ht="12.75">
      <c r="A13" s="478"/>
      <c r="B13" s="1022" t="s">
        <v>697</v>
      </c>
      <c r="C13" s="372" t="s">
        <v>694</v>
      </c>
      <c r="D13" s="372"/>
      <c r="E13" s="372"/>
      <c r="F13" s="372"/>
      <c r="G13" s="372"/>
      <c r="H13" s="374"/>
      <c r="I13" s="374">
        <v>30000</v>
      </c>
      <c r="J13" s="374"/>
      <c r="K13" s="452">
        <v>30000</v>
      </c>
      <c r="L13" s="372"/>
      <c r="M13" s="479" t="s">
        <v>179</v>
      </c>
    </row>
    <row r="14" spans="1:13" ht="12.75">
      <c r="A14" s="478"/>
      <c r="B14" s="601"/>
      <c r="C14" s="372"/>
      <c r="D14" s="372"/>
      <c r="E14" s="372"/>
      <c r="F14" s="372"/>
      <c r="G14" s="372"/>
      <c r="H14" s="374"/>
      <c r="I14" s="374"/>
      <c r="J14" s="374"/>
      <c r="K14" s="452"/>
      <c r="L14" s="372"/>
      <c r="M14" s="479"/>
    </row>
    <row r="15" spans="1:13" ht="12.75">
      <c r="A15" s="478"/>
      <c r="B15" s="602"/>
      <c r="C15" s="383"/>
      <c r="D15" s="383"/>
      <c r="E15" s="383"/>
      <c r="F15" s="383"/>
      <c r="G15" s="383"/>
      <c r="H15" s="398"/>
      <c r="I15" s="398"/>
      <c r="J15" s="398"/>
      <c r="K15" s="603"/>
      <c r="L15" s="385"/>
      <c r="M15" s="479"/>
    </row>
    <row r="16" spans="1:13" ht="12.75">
      <c r="A16" s="478"/>
      <c r="B16" s="579" t="s">
        <v>112</v>
      </c>
      <c r="C16" s="372" t="s">
        <v>131</v>
      </c>
      <c r="D16" s="372"/>
      <c r="E16" s="372"/>
      <c r="F16" s="372"/>
      <c r="G16" s="372"/>
      <c r="H16" s="374"/>
      <c r="I16" s="374">
        <f>4700000-500000</f>
        <v>4200000</v>
      </c>
      <c r="J16" s="374"/>
      <c r="K16" s="452">
        <f>4700000-500000</f>
        <v>4200000</v>
      </c>
      <c r="L16" s="479" t="s">
        <v>114</v>
      </c>
      <c r="M16" s="479"/>
    </row>
    <row r="17" spans="1:13" ht="12.75">
      <c r="A17" s="478"/>
      <c r="B17" s="579"/>
      <c r="C17" s="420" t="s">
        <v>132</v>
      </c>
      <c r="D17" s="372"/>
      <c r="E17" s="372"/>
      <c r="F17" s="372"/>
      <c r="G17" s="372"/>
      <c r="H17" s="374"/>
      <c r="I17" s="374"/>
      <c r="J17" s="374"/>
      <c r="K17" s="452"/>
      <c r="L17" s="479"/>
      <c r="M17" s="479"/>
    </row>
    <row r="18" spans="1:13" ht="12.75">
      <c r="A18" s="478"/>
      <c r="B18" s="579"/>
      <c r="C18" s="420" t="s">
        <v>1226</v>
      </c>
      <c r="D18" s="372"/>
      <c r="E18" s="372"/>
      <c r="F18" s="372"/>
      <c r="G18" s="372"/>
      <c r="H18" s="374"/>
      <c r="I18" s="374">
        <f>K18</f>
        <v>4038461.5384615385</v>
      </c>
      <c r="J18" s="374"/>
      <c r="K18" s="452">
        <f>4200000*1/1.04</f>
        <v>4038461.5384615385</v>
      </c>
      <c r="L18" s="479"/>
      <c r="M18" s="479"/>
    </row>
    <row r="19" spans="1:13" ht="13.5" thickBot="1">
      <c r="A19" s="478"/>
      <c r="B19" s="579"/>
      <c r="C19" s="420" t="s">
        <v>171</v>
      </c>
      <c r="D19" s="372"/>
      <c r="E19" s="372"/>
      <c r="F19" s="372"/>
      <c r="G19" s="372"/>
      <c r="H19" s="374"/>
      <c r="I19" s="386">
        <f>K19</f>
        <v>161538.4615384615</v>
      </c>
      <c r="J19" s="374"/>
      <c r="K19" s="404">
        <f>SUM(K16-K18)</f>
        <v>161538.4615384615</v>
      </c>
      <c r="L19" s="479"/>
      <c r="M19" s="479"/>
    </row>
    <row r="20" spans="1:13" ht="12.75">
      <c r="A20" s="478"/>
      <c r="B20" s="579"/>
      <c r="C20" s="420"/>
      <c r="D20" s="372"/>
      <c r="E20" s="372"/>
      <c r="F20" s="372"/>
      <c r="G20" s="372"/>
      <c r="H20" s="374"/>
      <c r="I20" s="374"/>
      <c r="J20" s="374"/>
      <c r="K20" s="452"/>
      <c r="L20" s="479"/>
      <c r="M20" s="479"/>
    </row>
    <row r="21" spans="1:13" ht="12.75">
      <c r="A21" s="478"/>
      <c r="B21" s="579"/>
      <c r="C21" s="420" t="s">
        <v>212</v>
      </c>
      <c r="D21" s="372"/>
      <c r="E21" s="372"/>
      <c r="F21" s="372"/>
      <c r="G21" s="372"/>
      <c r="H21" s="374"/>
      <c r="I21" s="374">
        <f>K21</f>
        <v>161538.4615384615</v>
      </c>
      <c r="J21" s="374"/>
      <c r="K21" s="452">
        <f>K19</f>
        <v>161538.4615384615</v>
      </c>
      <c r="L21" s="479"/>
      <c r="M21" s="479" t="s">
        <v>695</v>
      </c>
    </row>
    <row r="22" spans="1:13" ht="12.75">
      <c r="A22" s="478"/>
      <c r="B22" s="580"/>
      <c r="C22" s="371"/>
      <c r="D22" s="371"/>
      <c r="E22" s="371"/>
      <c r="F22" s="371"/>
      <c r="G22" s="371"/>
      <c r="H22" s="442"/>
      <c r="I22" s="442"/>
      <c r="J22" s="442"/>
      <c r="K22" s="604"/>
      <c r="L22" s="605"/>
      <c r="M22" s="479"/>
    </row>
    <row r="23" spans="1:13" ht="12.75">
      <c r="A23" s="499"/>
      <c r="B23" s="609"/>
      <c r="C23" s="371"/>
      <c r="D23" s="371"/>
      <c r="E23" s="371"/>
      <c r="F23" s="371"/>
      <c r="G23" s="371"/>
      <c r="H23" s="442"/>
      <c r="I23" s="442"/>
      <c r="J23" s="442"/>
      <c r="K23" s="604"/>
      <c r="L23" s="371"/>
      <c r="M23" s="605"/>
    </row>
    <row r="24" spans="2:11" ht="12.75">
      <c r="B24" s="601"/>
      <c r="C24" s="372"/>
      <c r="D24" s="372"/>
      <c r="E24" s="372"/>
      <c r="F24" s="372"/>
      <c r="G24" s="372"/>
      <c r="H24" s="374"/>
      <c r="I24" s="374"/>
      <c r="J24" s="374"/>
      <c r="K24" s="452"/>
    </row>
    <row r="25" spans="2:11" ht="13.5" thickBot="1">
      <c r="B25" s="367" t="s">
        <v>615</v>
      </c>
      <c r="H25" s="376"/>
      <c r="I25" s="608">
        <f>I6/I8*100</f>
        <v>3.730796444125807</v>
      </c>
      <c r="J25" s="376"/>
      <c r="K25" s="608">
        <f>K6/K8*100</f>
        <v>24.826967622159625</v>
      </c>
    </row>
    <row r="26" spans="2:11" ht="12.75">
      <c r="B26" s="601"/>
      <c r="C26" s="372"/>
      <c r="D26" s="372"/>
      <c r="E26" s="372"/>
      <c r="F26" s="372"/>
      <c r="G26" s="372"/>
      <c r="H26" s="374"/>
      <c r="I26" s="374"/>
      <c r="J26" s="374"/>
      <c r="K26" s="452"/>
    </row>
    <row r="27" ht="12.75">
      <c r="B27" s="367" t="s">
        <v>298</v>
      </c>
    </row>
    <row r="28" ht="12.75">
      <c r="B28" s="367" t="s">
        <v>130</v>
      </c>
    </row>
  </sheetData>
  <printOptions/>
  <pageMargins left="0.36" right="0.25" top="0.75" bottom="0.25" header="0.46" footer="0.25"/>
  <pageSetup horizontalDpi="300" verticalDpi="300" orientation="landscape" paperSize="9" scale="95" r:id="rId1"/>
  <headerFooter alignWithMargins="0">
    <oddHeader>&amp;R&amp;D  &amp;T</oddHeader>
    <oddFooter>&amp;R&amp;P of &amp;N</oddFooter>
  </headerFooter>
</worksheet>
</file>

<file path=xl/worksheets/sheet12.xml><?xml version="1.0" encoding="utf-8"?>
<worksheet xmlns="http://schemas.openxmlformats.org/spreadsheetml/2006/main" xmlns:r="http://schemas.openxmlformats.org/officeDocument/2006/relationships">
  <dimension ref="B1:F27"/>
  <sheetViews>
    <sheetView workbookViewId="0" topLeftCell="A1">
      <selection activeCell="A1" sqref="A1:IV16384"/>
    </sheetView>
  </sheetViews>
  <sheetFormatPr defaultColWidth="9.140625" defaultRowHeight="12.75"/>
  <cols>
    <col min="1" max="1" width="8.8515625" style="43" customWidth="1"/>
    <col min="2" max="2" width="30.8515625" style="42" customWidth="1"/>
    <col min="3" max="3" width="7.8515625" style="42" customWidth="1"/>
    <col min="4" max="4" width="7.7109375" style="42" customWidth="1"/>
    <col min="5" max="16384" width="8.8515625" style="42" customWidth="1"/>
  </cols>
  <sheetData>
    <row r="1" ht="12">
      <c r="B1" s="43" t="s">
        <v>962</v>
      </c>
    </row>
    <row r="2" ht="12.75" thickBot="1"/>
    <row r="3" spans="2:6" ht="12">
      <c r="B3" s="51" t="s">
        <v>503</v>
      </c>
      <c r="C3" s="177">
        <v>4479.46</v>
      </c>
      <c r="D3" s="54"/>
      <c r="E3" s="54"/>
      <c r="F3" s="55"/>
    </row>
    <row r="4" spans="2:6" ht="12">
      <c r="B4" s="52" t="s">
        <v>504</v>
      </c>
      <c r="C4" s="43"/>
      <c r="D4" s="158">
        <f>-C3</f>
        <v>-4479.46</v>
      </c>
      <c r="E4" s="43"/>
      <c r="F4" s="56"/>
    </row>
    <row r="5" spans="2:6" ht="12">
      <c r="B5" s="52" t="s">
        <v>1208</v>
      </c>
      <c r="C5" s="43"/>
      <c r="D5" s="43"/>
      <c r="E5" s="43"/>
      <c r="F5" s="56"/>
    </row>
    <row r="6" spans="2:6" ht="12">
      <c r="B6" s="52"/>
      <c r="C6" s="43"/>
      <c r="D6" s="43"/>
      <c r="E6" s="43"/>
      <c r="F6" s="56"/>
    </row>
    <row r="7" spans="2:6" ht="12">
      <c r="B7" s="52" t="s">
        <v>1189</v>
      </c>
      <c r="C7" s="158">
        <v>45.83</v>
      </c>
      <c r="D7" s="43"/>
      <c r="E7" s="43"/>
      <c r="F7" s="56"/>
    </row>
    <row r="8" spans="2:6" ht="12">
      <c r="B8" s="52" t="s">
        <v>414</v>
      </c>
      <c r="C8" s="43"/>
      <c r="D8" s="158">
        <f>-C7</f>
        <v>-45.83</v>
      </c>
      <c r="E8" s="43"/>
      <c r="F8" s="56"/>
    </row>
    <row r="9" spans="2:6" ht="12">
      <c r="B9" s="52" t="s">
        <v>1207</v>
      </c>
      <c r="C9" s="43"/>
      <c r="D9" s="43"/>
      <c r="E9" s="43"/>
      <c r="F9" s="56"/>
    </row>
    <row r="10" spans="2:6" ht="12">
      <c r="B10" s="52"/>
      <c r="C10" s="43"/>
      <c r="D10" s="43"/>
      <c r="E10" s="43"/>
      <c r="F10" s="56"/>
    </row>
    <row r="11" spans="2:6" ht="12">
      <c r="B11" s="52" t="s">
        <v>1190</v>
      </c>
      <c r="C11" s="158">
        <v>391.58</v>
      </c>
      <c r="D11" s="43"/>
      <c r="E11" s="43"/>
      <c r="F11" s="56"/>
    </row>
    <row r="12" spans="2:6" ht="12">
      <c r="B12" s="52" t="s">
        <v>1189</v>
      </c>
      <c r="C12" s="43"/>
      <c r="D12" s="158">
        <f>-C11</f>
        <v>-391.58</v>
      </c>
      <c r="E12" s="43"/>
      <c r="F12" s="56"/>
    </row>
    <row r="13" spans="2:6" ht="12">
      <c r="B13" s="52" t="s">
        <v>1205</v>
      </c>
      <c r="C13" s="43"/>
      <c r="D13" s="43"/>
      <c r="E13" s="43"/>
      <c r="F13" s="56"/>
    </row>
    <row r="14" spans="2:6" ht="12">
      <c r="B14" s="52"/>
      <c r="C14" s="43"/>
      <c r="D14" s="43"/>
      <c r="E14" s="43"/>
      <c r="F14" s="56"/>
    </row>
    <row r="15" spans="2:6" ht="12">
      <c r="B15" s="52" t="s">
        <v>1190</v>
      </c>
      <c r="C15" s="158">
        <v>108.78</v>
      </c>
      <c r="D15" s="43"/>
      <c r="E15" s="43"/>
      <c r="F15" s="56"/>
    </row>
    <row r="16" spans="2:6" ht="12">
      <c r="B16" s="52" t="s">
        <v>1189</v>
      </c>
      <c r="C16" s="43"/>
      <c r="D16" s="158">
        <f>-C15</f>
        <v>-108.78</v>
      </c>
      <c r="E16" s="43"/>
      <c r="F16" s="56"/>
    </row>
    <row r="17" spans="2:6" ht="12">
      <c r="B17" s="52" t="s">
        <v>1206</v>
      </c>
      <c r="C17" s="43"/>
      <c r="D17" s="43"/>
      <c r="E17" s="43"/>
      <c r="F17" s="56"/>
    </row>
    <row r="18" spans="2:6" ht="12">
      <c r="B18" s="52"/>
      <c r="C18" s="43"/>
      <c r="D18" s="43"/>
      <c r="E18" s="43"/>
      <c r="F18" s="56"/>
    </row>
    <row r="19" spans="2:6" ht="12">
      <c r="B19" s="53" t="s">
        <v>505</v>
      </c>
      <c r="C19" s="43"/>
      <c r="D19" s="43"/>
      <c r="E19" s="43"/>
      <c r="F19" s="56"/>
    </row>
    <row r="20" spans="2:6" ht="12">
      <c r="B20" s="52"/>
      <c r="C20" s="43"/>
      <c r="D20" s="43"/>
      <c r="E20" s="43"/>
      <c r="F20" s="56"/>
    </row>
    <row r="21" spans="2:6" ht="12">
      <c r="B21" s="52" t="s">
        <v>416</v>
      </c>
      <c r="C21" s="158"/>
      <c r="D21" s="158">
        <f>+D4</f>
        <v>-4479.46</v>
      </c>
      <c r="E21" s="43" t="s">
        <v>506</v>
      </c>
      <c r="F21" s="56"/>
    </row>
    <row r="22" spans="2:6" ht="12">
      <c r="B22" s="52" t="s">
        <v>503</v>
      </c>
      <c r="C22" s="158">
        <f>+C3</f>
        <v>4479.46</v>
      </c>
      <c r="D22" s="158"/>
      <c r="E22" s="43"/>
      <c r="F22" s="56"/>
    </row>
    <row r="23" spans="2:6" ht="12">
      <c r="B23" s="52" t="s">
        <v>414</v>
      </c>
      <c r="C23" s="158"/>
      <c r="D23" s="158">
        <f>+D16+D12+D8</f>
        <v>-546.19</v>
      </c>
      <c r="E23" s="43" t="s">
        <v>507</v>
      </c>
      <c r="F23" s="56"/>
    </row>
    <row r="24" spans="2:6" ht="12">
      <c r="B24" s="52" t="s">
        <v>508</v>
      </c>
      <c r="C24" s="158">
        <f>+C15+C11+C7</f>
        <v>546.19</v>
      </c>
      <c r="D24" s="158"/>
      <c r="E24" s="43"/>
      <c r="F24" s="56"/>
    </row>
    <row r="25" spans="2:6" ht="12">
      <c r="B25" s="52"/>
      <c r="C25" s="88">
        <f>SUM(C21:C24)</f>
        <v>5025.65</v>
      </c>
      <c r="D25" s="88">
        <f>SUM(D21:D24)</f>
        <v>-5025.65</v>
      </c>
      <c r="E25" s="43"/>
      <c r="F25" s="56"/>
    </row>
    <row r="26" spans="2:6" ht="12">
      <c r="B26" s="52"/>
      <c r="C26" s="43"/>
      <c r="D26" s="43"/>
      <c r="E26" s="43"/>
      <c r="F26" s="56"/>
    </row>
    <row r="27" spans="2:6" ht="12.75" thickBot="1">
      <c r="B27" s="57"/>
      <c r="C27" s="58"/>
      <c r="D27" s="58"/>
      <c r="E27" s="58"/>
      <c r="F27" s="59"/>
    </row>
    <row r="35" ht="11.25" customHeight="1"/>
  </sheetData>
  <printOptions/>
  <pageMargins left="0.75" right="0.75" top="0.72" bottom="0.49" header="0.36" footer="0.3"/>
  <pageSetup horizontalDpi="300" verticalDpi="300" orientation="portrait" paperSize="9" r:id="rId1"/>
  <headerFooter alignWithMargins="0">
    <oddHeader>&amp;R&amp;D</oddHeader>
  </headerFooter>
  <rowBreaks count="1" manualBreakCount="1">
    <brk id="37" max="65535" man="1"/>
  </rowBreaks>
</worksheet>
</file>

<file path=xl/worksheets/sheet13.xml><?xml version="1.0" encoding="utf-8"?>
<worksheet xmlns="http://schemas.openxmlformats.org/spreadsheetml/2006/main" xmlns:r="http://schemas.openxmlformats.org/officeDocument/2006/relationships">
  <dimension ref="B3:D19"/>
  <sheetViews>
    <sheetView workbookViewId="0" topLeftCell="A1">
      <selection activeCell="A1" sqref="A1:IV16384"/>
    </sheetView>
  </sheetViews>
  <sheetFormatPr defaultColWidth="9.140625" defaultRowHeight="12.75"/>
  <cols>
    <col min="2" max="2" width="17.00390625" style="337" customWidth="1"/>
    <col min="3" max="3" width="17.28125" style="0" customWidth="1"/>
  </cols>
  <sheetData>
    <row r="3" ht="12.75">
      <c r="B3" s="337">
        <v>8238951.18</v>
      </c>
    </row>
    <row r="4" ht="12.75">
      <c r="B4" s="337">
        <v>-332923.34</v>
      </c>
    </row>
    <row r="5" ht="12.75">
      <c r="B5" s="337">
        <v>-47170.79</v>
      </c>
    </row>
    <row r="6" ht="12.75">
      <c r="B6" s="337">
        <v>-21531.85</v>
      </c>
    </row>
    <row r="7" ht="12.75">
      <c r="B7" s="337">
        <v>-360588.2</v>
      </c>
    </row>
    <row r="8" spans="2:4" ht="12.75">
      <c r="B8" s="337">
        <v>-4306840.54</v>
      </c>
      <c r="C8" s="337">
        <v>-4306840.54</v>
      </c>
      <c r="D8" s="337">
        <v>-4306840.54</v>
      </c>
    </row>
    <row r="9" spans="2:3" ht="12.75">
      <c r="B9" s="338">
        <v>-60850.2</v>
      </c>
      <c r="C9">
        <v>-341560.96</v>
      </c>
    </row>
    <row r="10" spans="2:3" ht="12.75">
      <c r="B10" s="337">
        <f>SUM(B3:B9)</f>
        <v>3109046.26</v>
      </c>
      <c r="C10" s="339">
        <f>SUM(C8:C9)</f>
        <v>-4648401.5</v>
      </c>
    </row>
    <row r="11" ht="12.75">
      <c r="B11" s="338">
        <v>-537000</v>
      </c>
    </row>
    <row r="12" ht="12.75">
      <c r="B12" s="337">
        <f>SUM(B10:B11)</f>
        <v>2572046.26</v>
      </c>
    </row>
    <row r="13" ht="12.75">
      <c r="B13" s="337">
        <v>6225.6</v>
      </c>
    </row>
    <row r="14" ht="12.75">
      <c r="B14" s="337">
        <v>656194.91</v>
      </c>
    </row>
    <row r="15" ht="12.75">
      <c r="B15" s="337">
        <v>7550.5</v>
      </c>
    </row>
    <row r="16" ht="12.75">
      <c r="B16" s="337">
        <v>24893.95</v>
      </c>
    </row>
    <row r="17" ht="12.75">
      <c r="B17" s="337">
        <v>7966.35</v>
      </c>
    </row>
    <row r="18" ht="12.75">
      <c r="B18" s="337">
        <v>81499.8</v>
      </c>
    </row>
    <row r="19" ht="12.75">
      <c r="B19" s="337">
        <f>SUM(B12:B18)</f>
        <v>3356377.37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45"/>
    <pageSetUpPr fitToPage="1"/>
  </sheetPr>
  <dimension ref="A1:G225"/>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F11" sqref="F11"/>
    </sheetView>
  </sheetViews>
  <sheetFormatPr defaultColWidth="9.140625" defaultRowHeight="12.75"/>
  <cols>
    <col min="1" max="1" width="18.421875" style="587" customWidth="1"/>
    <col min="2" max="5" width="9.140625" style="582" customWidth="1"/>
    <col min="6" max="6" width="15.00390625" style="588" bestFit="1" customWidth="1"/>
    <col min="7" max="7" width="12.28125" style="589" bestFit="1" customWidth="1"/>
    <col min="8" max="8" width="11.28125" style="586" bestFit="1" customWidth="1"/>
  </cols>
  <sheetData>
    <row r="1" spans="1:7" ht="12.75">
      <c r="A1" s="581" t="s">
        <v>133</v>
      </c>
      <c r="E1" s="583" t="s">
        <v>66</v>
      </c>
      <c r="F1" s="584" t="s">
        <v>74</v>
      </c>
      <c r="G1" s="585" t="s">
        <v>134</v>
      </c>
    </row>
    <row r="2" spans="2:6" ht="12.75">
      <c r="B2" s="582" t="s">
        <v>135</v>
      </c>
      <c r="C2" s="582" t="s">
        <v>136</v>
      </c>
      <c r="D2" s="582" t="s">
        <v>137</v>
      </c>
      <c r="E2" s="582" t="s">
        <v>138</v>
      </c>
      <c r="F2" s="588" t="s">
        <v>139</v>
      </c>
    </row>
    <row r="3" spans="1:7" ht="12.75">
      <c r="A3" s="592" t="s">
        <v>143</v>
      </c>
      <c r="B3" s="598">
        <v>0</v>
      </c>
      <c r="C3" s="598">
        <v>0.99</v>
      </c>
      <c r="D3" s="598">
        <v>0.99</v>
      </c>
      <c r="E3" s="598">
        <v>0.99</v>
      </c>
      <c r="F3" s="594">
        <v>0</v>
      </c>
      <c r="G3" s="591">
        <f aca="true" t="shared" si="0" ref="G3:G22">E3*F3</f>
        <v>0</v>
      </c>
    </row>
    <row r="4" spans="1:7" ht="12.75">
      <c r="A4" s="592" t="s">
        <v>145</v>
      </c>
      <c r="B4" s="598">
        <v>0</v>
      </c>
      <c r="C4" s="598">
        <v>0</v>
      </c>
      <c r="D4" s="598">
        <v>0</v>
      </c>
      <c r="E4" s="598">
        <v>0</v>
      </c>
      <c r="F4" s="594">
        <v>0</v>
      </c>
      <c r="G4" s="591">
        <f t="shared" si="0"/>
        <v>0</v>
      </c>
    </row>
    <row r="5" spans="1:7" ht="12.75">
      <c r="A5" s="592" t="s">
        <v>146</v>
      </c>
      <c r="B5" s="598">
        <v>1</v>
      </c>
      <c r="C5" s="598">
        <v>1</v>
      </c>
      <c r="D5" s="598">
        <v>1</v>
      </c>
      <c r="E5" s="598">
        <v>1</v>
      </c>
      <c r="F5" s="594">
        <v>50</v>
      </c>
      <c r="G5" s="591">
        <f t="shared" si="0"/>
        <v>50</v>
      </c>
    </row>
    <row r="6" spans="1:7" ht="12.75">
      <c r="A6" s="592" t="s">
        <v>147</v>
      </c>
      <c r="B6" s="598">
        <v>1</v>
      </c>
      <c r="C6" s="598">
        <v>1</v>
      </c>
      <c r="D6" s="598">
        <v>1</v>
      </c>
      <c r="E6" s="598">
        <v>1</v>
      </c>
      <c r="F6" s="594">
        <v>110</v>
      </c>
      <c r="G6" s="591">
        <f t="shared" si="0"/>
        <v>110</v>
      </c>
    </row>
    <row r="7" spans="1:7" ht="12.75">
      <c r="A7" s="592" t="s">
        <v>148</v>
      </c>
      <c r="B7" s="598">
        <v>1.02</v>
      </c>
      <c r="C7" s="598">
        <v>1.02</v>
      </c>
      <c r="D7" s="598">
        <v>1.01</v>
      </c>
      <c r="E7" s="598">
        <v>1.01</v>
      </c>
      <c r="F7" s="594">
        <v>215</v>
      </c>
      <c r="G7" s="591">
        <f t="shared" si="0"/>
        <v>217.15</v>
      </c>
    </row>
    <row r="8" spans="1:7" ht="12.75">
      <c r="A8" s="592" t="s">
        <v>149</v>
      </c>
      <c r="B8" s="598">
        <v>1.02</v>
      </c>
      <c r="C8" s="598">
        <v>1.08</v>
      </c>
      <c r="D8" s="598">
        <v>1.02</v>
      </c>
      <c r="E8" s="598">
        <v>1.08</v>
      </c>
      <c r="F8" s="594">
        <v>53</v>
      </c>
      <c r="G8" s="591">
        <f t="shared" si="0"/>
        <v>57.24</v>
      </c>
    </row>
    <row r="9" spans="1:7" ht="12.75">
      <c r="A9" s="592" t="s">
        <v>150</v>
      </c>
      <c r="B9" s="598">
        <v>0</v>
      </c>
      <c r="C9" s="598">
        <v>1.08</v>
      </c>
      <c r="D9" s="598">
        <v>1.08</v>
      </c>
      <c r="E9" s="598">
        <v>1.08</v>
      </c>
      <c r="F9" s="594">
        <v>0</v>
      </c>
      <c r="G9" s="591">
        <f t="shared" si="0"/>
        <v>0</v>
      </c>
    </row>
    <row r="10" spans="1:7" ht="12.75">
      <c r="A10" s="592" t="s">
        <v>151</v>
      </c>
      <c r="B10" s="598">
        <v>0</v>
      </c>
      <c r="C10" s="598">
        <v>0</v>
      </c>
      <c r="D10" s="598">
        <v>0</v>
      </c>
      <c r="E10" s="598">
        <v>0</v>
      </c>
      <c r="F10" s="594">
        <v>0</v>
      </c>
      <c r="G10" s="591">
        <f t="shared" si="0"/>
        <v>0</v>
      </c>
    </row>
    <row r="11" spans="1:7" ht="12.75">
      <c r="A11" s="592" t="s">
        <v>153</v>
      </c>
      <c r="B11" s="598">
        <v>1.05</v>
      </c>
      <c r="C11" s="598">
        <v>1.08</v>
      </c>
      <c r="D11" s="598">
        <v>1.05</v>
      </c>
      <c r="E11" s="598">
        <v>1.08</v>
      </c>
      <c r="F11" s="594">
        <v>130</v>
      </c>
      <c r="G11" s="591">
        <f t="shared" si="0"/>
        <v>140.4</v>
      </c>
    </row>
    <row r="12" spans="1:7" ht="12.75">
      <c r="A12" s="592" t="s">
        <v>154</v>
      </c>
      <c r="B12" s="598">
        <v>1.1</v>
      </c>
      <c r="C12" s="598">
        <v>1.1</v>
      </c>
      <c r="D12" s="598">
        <v>1.05</v>
      </c>
      <c r="E12" s="598">
        <v>1.05</v>
      </c>
      <c r="F12" s="594">
        <v>140</v>
      </c>
      <c r="G12" s="591">
        <f t="shared" si="0"/>
        <v>147</v>
      </c>
    </row>
    <row r="13" spans="1:7" ht="12.75">
      <c r="A13" s="592" t="s">
        <v>155</v>
      </c>
      <c r="B13" s="598">
        <v>1.05</v>
      </c>
      <c r="C13" s="598">
        <v>1.05</v>
      </c>
      <c r="D13" s="598">
        <v>1.05</v>
      </c>
      <c r="E13" s="598">
        <v>1.05</v>
      </c>
      <c r="F13" s="594">
        <v>50</v>
      </c>
      <c r="G13" s="591">
        <f t="shared" si="0"/>
        <v>52.5</v>
      </c>
    </row>
    <row r="14" spans="1:7" ht="12.75">
      <c r="A14" s="592" t="s">
        <v>156</v>
      </c>
      <c r="B14" s="598">
        <v>0</v>
      </c>
      <c r="C14" s="598">
        <v>1.05</v>
      </c>
      <c r="D14" s="598">
        <v>1.05</v>
      </c>
      <c r="E14" s="598">
        <v>1.05</v>
      </c>
      <c r="F14" s="594">
        <v>0</v>
      </c>
      <c r="G14" s="591">
        <f t="shared" si="0"/>
        <v>0</v>
      </c>
    </row>
    <row r="15" spans="1:7" ht="12.75">
      <c r="A15" s="592" t="s">
        <v>157</v>
      </c>
      <c r="B15" s="598">
        <v>1.05</v>
      </c>
      <c r="C15" s="598">
        <v>1.05</v>
      </c>
      <c r="D15" s="598">
        <v>1.05</v>
      </c>
      <c r="E15" s="598">
        <v>1.05</v>
      </c>
      <c r="F15" s="594">
        <v>250</v>
      </c>
      <c r="G15" s="591">
        <f t="shared" si="0"/>
        <v>262.5</v>
      </c>
    </row>
    <row r="16" spans="1:7" ht="12.75">
      <c r="A16" s="592" t="s">
        <v>158</v>
      </c>
      <c r="B16" s="598">
        <v>1.01</v>
      </c>
      <c r="C16" s="598">
        <v>1.02</v>
      </c>
      <c r="D16" s="598">
        <v>1.01</v>
      </c>
      <c r="E16" s="598">
        <v>1.02</v>
      </c>
      <c r="F16" s="594">
        <v>30</v>
      </c>
      <c r="G16" s="591">
        <f t="shared" si="0"/>
        <v>30.6</v>
      </c>
    </row>
    <row r="17" spans="1:7" ht="12.75">
      <c r="A17" s="592" t="s">
        <v>159</v>
      </c>
      <c r="B17" s="598">
        <v>1.01</v>
      </c>
      <c r="C17" s="598">
        <v>1.01</v>
      </c>
      <c r="D17" s="598">
        <v>1.01</v>
      </c>
      <c r="E17" s="598">
        <v>1.01</v>
      </c>
      <c r="F17" s="594">
        <v>20</v>
      </c>
      <c r="G17" s="591">
        <f t="shared" si="0"/>
        <v>20.2</v>
      </c>
    </row>
    <row r="18" spans="1:7" ht="12.75">
      <c r="A18" s="592" t="s">
        <v>160</v>
      </c>
      <c r="B18" s="598">
        <v>1.01</v>
      </c>
      <c r="C18" s="598">
        <v>1.01</v>
      </c>
      <c r="D18" s="598">
        <v>1.01</v>
      </c>
      <c r="E18" s="598">
        <v>1.01</v>
      </c>
      <c r="F18" s="594">
        <v>10</v>
      </c>
      <c r="G18" s="591">
        <f t="shared" si="0"/>
        <v>10.1</v>
      </c>
    </row>
    <row r="19" spans="1:7" ht="12.75">
      <c r="A19" s="592" t="s">
        <v>144</v>
      </c>
      <c r="B19" s="598">
        <v>1</v>
      </c>
      <c r="C19" s="598">
        <v>1.03</v>
      </c>
      <c r="D19" s="598">
        <v>1</v>
      </c>
      <c r="E19" s="598">
        <v>1.03</v>
      </c>
      <c r="F19" s="594">
        <v>140</v>
      </c>
      <c r="G19" s="591">
        <f t="shared" si="0"/>
        <v>144.20000000000002</v>
      </c>
    </row>
    <row r="20" spans="1:7" ht="12.75">
      <c r="A20" s="592" t="s">
        <v>164</v>
      </c>
      <c r="B20" s="598">
        <v>1.02</v>
      </c>
      <c r="C20" s="598">
        <v>1.02</v>
      </c>
      <c r="D20" s="598">
        <v>1.02</v>
      </c>
      <c r="E20" s="598">
        <v>1.02</v>
      </c>
      <c r="F20" s="594">
        <v>72</v>
      </c>
      <c r="G20" s="591">
        <f t="shared" si="0"/>
        <v>73.44</v>
      </c>
    </row>
    <row r="21" spans="1:7" ht="12.75">
      <c r="A21" s="592" t="s">
        <v>165</v>
      </c>
      <c r="B21" s="598">
        <v>1.02</v>
      </c>
      <c r="C21" s="598">
        <v>1.02</v>
      </c>
      <c r="D21" s="598">
        <v>1.02</v>
      </c>
      <c r="E21" s="598">
        <v>1.02</v>
      </c>
      <c r="F21" s="594">
        <v>40</v>
      </c>
      <c r="G21" s="591">
        <f t="shared" si="0"/>
        <v>40.8</v>
      </c>
    </row>
    <row r="22" spans="1:7" ht="12.75">
      <c r="A22" s="592" t="s">
        <v>166</v>
      </c>
      <c r="B22" s="598">
        <v>1.02</v>
      </c>
      <c r="C22" s="598">
        <v>1.04</v>
      </c>
      <c r="D22" s="598">
        <v>1.02</v>
      </c>
      <c r="E22" s="598">
        <v>1.04</v>
      </c>
      <c r="F22" s="594">
        <v>40</v>
      </c>
      <c r="G22" s="591">
        <f t="shared" si="0"/>
        <v>41.6</v>
      </c>
    </row>
    <row r="23" spans="1:7" ht="12.75">
      <c r="A23" s="592" t="s">
        <v>167</v>
      </c>
      <c r="B23" s="598">
        <v>1.08</v>
      </c>
      <c r="C23" s="598">
        <v>1.08</v>
      </c>
      <c r="D23" s="598">
        <v>1.07</v>
      </c>
      <c r="E23" s="598">
        <v>1.08</v>
      </c>
      <c r="F23" s="594">
        <v>90</v>
      </c>
      <c r="G23" s="591">
        <f>E23*F23</f>
        <v>97.2</v>
      </c>
    </row>
    <row r="24" spans="1:7" ht="12.75">
      <c r="A24" s="592" t="s">
        <v>168</v>
      </c>
      <c r="B24" s="598">
        <v>0</v>
      </c>
      <c r="C24" s="598">
        <v>0</v>
      </c>
      <c r="D24" s="598">
        <v>0</v>
      </c>
      <c r="E24" s="598">
        <v>0</v>
      </c>
      <c r="F24" s="598">
        <v>0</v>
      </c>
      <c r="G24" s="591">
        <f>E24*F24</f>
        <v>0</v>
      </c>
    </row>
    <row r="25" spans="1:7" ht="12.75">
      <c r="A25" s="592" t="s">
        <v>169</v>
      </c>
      <c r="B25" s="598">
        <v>0</v>
      </c>
      <c r="C25" s="598">
        <v>0</v>
      </c>
      <c r="D25" s="598">
        <v>0</v>
      </c>
      <c r="E25" s="598">
        <v>0</v>
      </c>
      <c r="F25" s="598">
        <v>0</v>
      </c>
      <c r="G25" s="591">
        <f>E25*F25</f>
        <v>0</v>
      </c>
    </row>
    <row r="26" spans="1:7" ht="12.75">
      <c r="A26" s="592" t="s">
        <v>170</v>
      </c>
      <c r="B26" s="598">
        <v>0</v>
      </c>
      <c r="C26" s="598">
        <v>0</v>
      </c>
      <c r="D26" s="598">
        <v>0</v>
      </c>
      <c r="E26" s="598">
        <v>0</v>
      </c>
      <c r="F26" s="598">
        <v>0</v>
      </c>
      <c r="G26" s="591">
        <f>E26*F26</f>
        <v>0</v>
      </c>
    </row>
    <row r="27" spans="1:7" ht="12.75">
      <c r="A27" s="590"/>
      <c r="B27" s="599"/>
      <c r="C27" s="599"/>
      <c r="D27" s="599"/>
      <c r="E27" s="599"/>
      <c r="G27" s="591"/>
    </row>
    <row r="28" spans="1:7" ht="13.5" thickBot="1">
      <c r="A28" s="590"/>
      <c r="E28" s="595"/>
      <c r="F28" s="596">
        <f>SUM(F3:F27)</f>
        <v>1440</v>
      </c>
      <c r="G28" s="596">
        <f>SUM(G3:G27)</f>
        <v>1494.9299999999998</v>
      </c>
    </row>
    <row r="29" ht="12.75">
      <c r="A29" s="590"/>
    </row>
    <row r="30" spans="1:7" ht="12.75">
      <c r="A30" s="590"/>
      <c r="C30" s="597" t="s">
        <v>140</v>
      </c>
      <c r="G30" s="593">
        <f>G28/F28</f>
        <v>1.0381458333333333</v>
      </c>
    </row>
    <row r="31" ht="12.75">
      <c r="A31" s="590"/>
    </row>
    <row r="32" spans="1:3" ht="12.75">
      <c r="A32" s="590"/>
      <c r="B32" s="597" t="s">
        <v>141</v>
      </c>
      <c r="C32" s="597" t="s">
        <v>142</v>
      </c>
    </row>
    <row r="33" ht="12.75">
      <c r="A33" s="590"/>
    </row>
    <row r="34" ht="12.75">
      <c r="A34" s="590"/>
    </row>
    <row r="35" ht="12.75">
      <c r="A35" s="590"/>
    </row>
    <row r="36" ht="12.75">
      <c r="A36" s="590"/>
    </row>
    <row r="37" ht="12.75">
      <c r="A37" s="590"/>
    </row>
    <row r="38" ht="12.75">
      <c r="A38" s="590"/>
    </row>
    <row r="39" ht="12.75">
      <c r="A39" s="590"/>
    </row>
    <row r="40" ht="12.75">
      <c r="A40" s="590"/>
    </row>
    <row r="41" ht="12.75">
      <c r="A41" s="590"/>
    </row>
    <row r="42" ht="12.75">
      <c r="A42" s="590"/>
    </row>
    <row r="43" ht="12.75">
      <c r="A43" s="590"/>
    </row>
    <row r="44" ht="12.75">
      <c r="A44" s="590"/>
    </row>
    <row r="45" ht="12.75">
      <c r="A45" s="590"/>
    </row>
    <row r="46" ht="12.75">
      <c r="A46" s="590"/>
    </row>
    <row r="47" ht="12.75">
      <c r="A47" s="590"/>
    </row>
    <row r="48" ht="12.75">
      <c r="A48" s="590"/>
    </row>
    <row r="49" ht="12.75">
      <c r="A49" s="590"/>
    </row>
    <row r="50" ht="12.75">
      <c r="A50" s="590"/>
    </row>
    <row r="51" ht="12.75">
      <c r="A51" s="590"/>
    </row>
    <row r="52" ht="12.75">
      <c r="A52" s="590"/>
    </row>
    <row r="53" ht="12.75">
      <c r="A53" s="590"/>
    </row>
    <row r="54" ht="12.75">
      <c r="A54" s="590"/>
    </row>
    <row r="55" ht="12.75">
      <c r="A55" s="590"/>
    </row>
    <row r="56" ht="12.75">
      <c r="A56" s="590"/>
    </row>
    <row r="57" ht="12.75">
      <c r="A57" s="590"/>
    </row>
    <row r="58" ht="12.75">
      <c r="A58" s="590"/>
    </row>
    <row r="59" ht="12.75">
      <c r="A59" s="590"/>
    </row>
    <row r="60" ht="12.75">
      <c r="A60" s="590"/>
    </row>
    <row r="61" ht="12.75">
      <c r="A61" s="590"/>
    </row>
    <row r="62" ht="12.75">
      <c r="A62" s="590"/>
    </row>
    <row r="63" ht="12.75">
      <c r="A63" s="590"/>
    </row>
    <row r="64" ht="12.75">
      <c r="A64" s="590"/>
    </row>
    <row r="65" ht="12.75">
      <c r="A65" s="590"/>
    </row>
    <row r="66" ht="12.75">
      <c r="A66" s="590"/>
    </row>
    <row r="67" ht="12.75">
      <c r="A67" s="590"/>
    </row>
    <row r="68" ht="12.75">
      <c r="A68" s="590"/>
    </row>
    <row r="69" ht="12.75">
      <c r="A69" s="590"/>
    </row>
    <row r="70" ht="12.75">
      <c r="A70" s="590"/>
    </row>
    <row r="71" ht="12.75">
      <c r="A71" s="590"/>
    </row>
    <row r="72" ht="12.75">
      <c r="A72" s="590"/>
    </row>
    <row r="73" ht="12.75">
      <c r="A73" s="590"/>
    </row>
    <row r="74" ht="12.75">
      <c r="A74" s="590"/>
    </row>
    <row r="75" ht="12.75">
      <c r="A75" s="590"/>
    </row>
    <row r="76" ht="12.75">
      <c r="A76" s="590"/>
    </row>
    <row r="77" ht="12.75">
      <c r="A77" s="590"/>
    </row>
    <row r="78" ht="12.75">
      <c r="A78" s="590"/>
    </row>
    <row r="79" ht="12.75">
      <c r="A79" s="590"/>
    </row>
    <row r="80" ht="12.75">
      <c r="A80" s="590"/>
    </row>
    <row r="81" ht="12.75">
      <c r="A81" s="590"/>
    </row>
    <row r="82" ht="12.75">
      <c r="A82" s="590"/>
    </row>
    <row r="83" ht="12.75">
      <c r="A83" s="590"/>
    </row>
    <row r="84" ht="12.75">
      <c r="A84" s="590"/>
    </row>
    <row r="85" ht="12.75">
      <c r="A85" s="590"/>
    </row>
    <row r="86" ht="12.75">
      <c r="A86" s="590"/>
    </row>
    <row r="87" ht="12.75">
      <c r="A87" s="590"/>
    </row>
    <row r="88" ht="12.75">
      <c r="A88" s="590"/>
    </row>
    <row r="89" ht="12.75">
      <c r="A89" s="590"/>
    </row>
    <row r="90" ht="12.75">
      <c r="A90" s="590"/>
    </row>
    <row r="91" ht="12.75">
      <c r="A91" s="590"/>
    </row>
    <row r="92" ht="12.75">
      <c r="A92" s="590"/>
    </row>
    <row r="93" ht="12.75">
      <c r="A93" s="590"/>
    </row>
    <row r="94" ht="12.75">
      <c r="A94" s="590"/>
    </row>
    <row r="95" ht="12.75">
      <c r="A95" s="590"/>
    </row>
    <row r="96" ht="12.75">
      <c r="A96" s="590"/>
    </row>
    <row r="97" ht="12.75">
      <c r="A97" s="590"/>
    </row>
    <row r="98" ht="12.75">
      <c r="A98" s="590"/>
    </row>
    <row r="99" ht="12.75">
      <c r="A99" s="590"/>
    </row>
    <row r="100" ht="12.75">
      <c r="A100" s="590"/>
    </row>
    <row r="101" ht="12.75">
      <c r="A101" s="590"/>
    </row>
    <row r="102" ht="12.75">
      <c r="A102" s="590"/>
    </row>
    <row r="103" ht="12.75">
      <c r="A103" s="590"/>
    </row>
    <row r="104" ht="12.75">
      <c r="A104" s="590"/>
    </row>
    <row r="105" ht="12.75">
      <c r="A105" s="590"/>
    </row>
    <row r="106" ht="12.75">
      <c r="A106" s="590"/>
    </row>
    <row r="107" ht="12.75">
      <c r="A107" s="590"/>
    </row>
    <row r="108" ht="12.75">
      <c r="A108" s="590"/>
    </row>
    <row r="109" ht="12.75">
      <c r="A109" s="590"/>
    </row>
    <row r="110" ht="12.75">
      <c r="A110" s="590"/>
    </row>
    <row r="111" ht="12.75">
      <c r="A111" s="590"/>
    </row>
    <row r="112" ht="12.75">
      <c r="A112" s="590"/>
    </row>
    <row r="113" ht="12.75">
      <c r="A113" s="590"/>
    </row>
    <row r="114" ht="12.75">
      <c r="A114" s="590"/>
    </row>
    <row r="115" ht="12.75">
      <c r="A115" s="590"/>
    </row>
    <row r="116" ht="12.75">
      <c r="A116" s="590"/>
    </row>
    <row r="117" ht="12.75">
      <c r="A117" s="590"/>
    </row>
    <row r="118" ht="12.75">
      <c r="A118" s="590"/>
    </row>
    <row r="119" ht="12.75">
      <c r="A119" s="590"/>
    </row>
    <row r="120" ht="12.75">
      <c r="A120" s="590"/>
    </row>
    <row r="121" ht="12.75">
      <c r="A121" s="590"/>
    </row>
    <row r="122" ht="12.75">
      <c r="A122" s="590"/>
    </row>
    <row r="123" ht="12.75">
      <c r="A123" s="590"/>
    </row>
    <row r="124" ht="12.75">
      <c r="A124" s="590"/>
    </row>
    <row r="125" ht="12.75">
      <c r="A125" s="590"/>
    </row>
    <row r="126" ht="12.75">
      <c r="A126" s="590"/>
    </row>
    <row r="127" ht="12.75">
      <c r="A127" s="590"/>
    </row>
    <row r="128" ht="12.75">
      <c r="A128" s="590"/>
    </row>
    <row r="129" ht="12.75">
      <c r="A129" s="590"/>
    </row>
    <row r="130" ht="12.75">
      <c r="A130" s="590"/>
    </row>
    <row r="131" ht="12.75">
      <c r="A131" s="590"/>
    </row>
    <row r="132" ht="12.75">
      <c r="A132" s="590"/>
    </row>
    <row r="133" ht="12.75">
      <c r="A133" s="590"/>
    </row>
    <row r="134" ht="12.75">
      <c r="A134" s="590"/>
    </row>
    <row r="135" ht="12.75">
      <c r="A135" s="590"/>
    </row>
    <row r="136" ht="12.75">
      <c r="A136" s="590"/>
    </row>
    <row r="137" ht="12.75">
      <c r="A137" s="590"/>
    </row>
    <row r="138" ht="12.75">
      <c r="A138" s="590"/>
    </row>
    <row r="139" ht="12.75">
      <c r="A139" s="590"/>
    </row>
    <row r="140" ht="12.75">
      <c r="A140" s="590"/>
    </row>
    <row r="141" ht="12.75">
      <c r="A141" s="590"/>
    </row>
    <row r="142" ht="12.75">
      <c r="A142" s="590"/>
    </row>
    <row r="143" ht="12.75">
      <c r="A143" s="590"/>
    </row>
    <row r="144" ht="12.75">
      <c r="A144" s="590"/>
    </row>
    <row r="145" ht="12.75">
      <c r="A145" s="590"/>
    </row>
    <row r="146" ht="12.75">
      <c r="A146" s="590"/>
    </row>
    <row r="147" ht="12.75">
      <c r="A147" s="590"/>
    </row>
    <row r="148" ht="12.75">
      <c r="A148" s="590"/>
    </row>
    <row r="149" ht="12.75">
      <c r="A149" s="590"/>
    </row>
    <row r="150" ht="12.75">
      <c r="A150" s="590"/>
    </row>
    <row r="151" ht="12.75">
      <c r="A151" s="590"/>
    </row>
    <row r="152" ht="12.75">
      <c r="A152" s="590"/>
    </row>
    <row r="153" ht="12.75">
      <c r="A153" s="590"/>
    </row>
    <row r="154" ht="12.75">
      <c r="A154" s="590"/>
    </row>
    <row r="155" ht="12.75">
      <c r="A155" s="590"/>
    </row>
    <row r="156" ht="12.75">
      <c r="A156" s="590"/>
    </row>
    <row r="157" ht="12.75">
      <c r="A157" s="590"/>
    </row>
    <row r="158" ht="12.75">
      <c r="A158" s="590"/>
    </row>
    <row r="159" ht="12.75">
      <c r="A159" s="590"/>
    </row>
    <row r="160" ht="12.75">
      <c r="A160" s="590"/>
    </row>
    <row r="161" ht="12.75">
      <c r="A161" s="590"/>
    </row>
    <row r="162" ht="12.75">
      <c r="A162" s="590"/>
    </row>
    <row r="163" ht="12.75">
      <c r="A163" s="590"/>
    </row>
    <row r="164" ht="12.75">
      <c r="A164" s="590"/>
    </row>
    <row r="165" ht="12.75">
      <c r="A165" s="590"/>
    </row>
    <row r="166" ht="12.75">
      <c r="A166" s="590"/>
    </row>
    <row r="167" ht="12.75">
      <c r="A167" s="590"/>
    </row>
    <row r="168" ht="12.75">
      <c r="A168" s="590"/>
    </row>
    <row r="169" ht="12.75">
      <c r="A169" s="590"/>
    </row>
    <row r="170" ht="12.75">
      <c r="A170" s="590"/>
    </row>
    <row r="171" ht="12.75">
      <c r="A171" s="590"/>
    </row>
    <row r="172" ht="12.75">
      <c r="A172" s="590"/>
    </row>
    <row r="173" ht="12.75">
      <c r="A173" s="590"/>
    </row>
    <row r="174" ht="12.75">
      <c r="A174" s="590"/>
    </row>
    <row r="175" ht="12.75">
      <c r="A175" s="590"/>
    </row>
    <row r="176" ht="12.75">
      <c r="A176" s="590"/>
    </row>
    <row r="177" ht="12.75">
      <c r="A177" s="590"/>
    </row>
    <row r="178" ht="12.75">
      <c r="A178" s="590"/>
    </row>
    <row r="179" ht="12.75">
      <c r="A179" s="590"/>
    </row>
    <row r="180" ht="12.75">
      <c r="A180" s="590"/>
    </row>
    <row r="181" ht="12.75">
      <c r="A181" s="590"/>
    </row>
    <row r="182" ht="12.75">
      <c r="A182" s="590"/>
    </row>
    <row r="183" ht="12.75">
      <c r="A183" s="590"/>
    </row>
    <row r="184" ht="12.75">
      <c r="A184" s="590"/>
    </row>
    <row r="185" ht="12.75">
      <c r="A185" s="590"/>
    </row>
    <row r="186" ht="12.75">
      <c r="A186" s="590"/>
    </row>
    <row r="187" ht="12.75">
      <c r="A187" s="590"/>
    </row>
    <row r="188" ht="12.75">
      <c r="A188" s="590"/>
    </row>
    <row r="189" ht="12.75">
      <c r="A189" s="590"/>
    </row>
    <row r="190" ht="12.75">
      <c r="A190" s="590"/>
    </row>
    <row r="191" ht="12.75">
      <c r="A191" s="590"/>
    </row>
    <row r="192" ht="12.75">
      <c r="A192" s="590"/>
    </row>
    <row r="193" ht="12.75">
      <c r="A193" s="590"/>
    </row>
    <row r="194" ht="12.75">
      <c r="A194" s="590"/>
    </row>
    <row r="195" ht="12.75">
      <c r="A195" s="590"/>
    </row>
    <row r="196" ht="12.75">
      <c r="A196" s="590"/>
    </row>
    <row r="197" ht="12.75">
      <c r="A197" s="590"/>
    </row>
    <row r="198" ht="12.75">
      <c r="A198" s="590"/>
    </row>
    <row r="199" ht="12.75">
      <c r="A199" s="590"/>
    </row>
    <row r="200" ht="12.75">
      <c r="A200" s="590"/>
    </row>
    <row r="201" ht="12.75">
      <c r="A201" s="590"/>
    </row>
    <row r="202" ht="12.75">
      <c r="A202" s="590"/>
    </row>
    <row r="203" ht="12.75">
      <c r="A203" s="590"/>
    </row>
    <row r="204" ht="12.75">
      <c r="A204" s="590"/>
    </row>
    <row r="205" ht="12.75">
      <c r="A205" s="590"/>
    </row>
    <row r="206" ht="12.75">
      <c r="A206" s="590"/>
    </row>
    <row r="207" ht="12.75">
      <c r="A207" s="590"/>
    </row>
    <row r="208" ht="12.75">
      <c r="A208" s="590"/>
    </row>
    <row r="209" ht="12.75">
      <c r="A209" s="590"/>
    </row>
    <row r="210" ht="12.75">
      <c r="A210" s="590"/>
    </row>
    <row r="211" ht="12.75">
      <c r="A211" s="590"/>
    </row>
    <row r="212" ht="12.75">
      <c r="A212" s="590"/>
    </row>
    <row r="213" ht="12.75">
      <c r="A213" s="590"/>
    </row>
    <row r="214" ht="12.75">
      <c r="A214" s="590"/>
    </row>
    <row r="215" ht="12.75">
      <c r="A215" s="590"/>
    </row>
    <row r="216" ht="12.75">
      <c r="A216" s="590"/>
    </row>
    <row r="217" ht="12.75">
      <c r="A217" s="590"/>
    </row>
    <row r="218" ht="12.75">
      <c r="A218" s="590"/>
    </row>
    <row r="219" ht="12.75">
      <c r="A219" s="590"/>
    </row>
    <row r="220" ht="12.75">
      <c r="A220" s="590"/>
    </row>
    <row r="221" ht="12.75">
      <c r="A221" s="590"/>
    </row>
    <row r="222" ht="12.75">
      <c r="A222" s="590"/>
    </row>
    <row r="223" ht="12.75">
      <c r="A223" s="590"/>
    </row>
    <row r="224" ht="12.75">
      <c r="A224" s="590"/>
    </row>
    <row r="225" ht="12.75">
      <c r="A225" s="590"/>
    </row>
  </sheetData>
  <sheetProtection password="F810" sheet="1" objects="1" scenarios="1" selectLockedCells="1" selectUnlockedCells="1"/>
  <printOptions gridLines="1"/>
  <pageMargins left="0.75" right="0.25" top="0.5" bottom="0" header="0.25" footer="0.5"/>
  <pageSetup fitToHeight="1" fitToWidth="1" horizontalDpi="600" verticalDpi="600" orientation="portrait" paperSize="9" r:id="rId1"/>
  <rowBreaks count="1" manualBreakCount="1">
    <brk id="32" max="6" man="1"/>
  </rowBreaks>
</worksheet>
</file>

<file path=xl/worksheets/sheet15.xml><?xml version="1.0" encoding="utf-8"?>
<worksheet xmlns="http://schemas.openxmlformats.org/spreadsheetml/2006/main" xmlns:r="http://schemas.openxmlformats.org/officeDocument/2006/relationships">
  <dimension ref="A1:X70"/>
  <sheetViews>
    <sheetView view="pageBreakPreview" zoomScale="60" zoomScaleNormal="60" workbookViewId="0" topLeftCell="A1">
      <pane xSplit="4" ySplit="6" topLeftCell="E31" activePane="bottomRight" state="frozen"/>
      <selection pane="topLeft" activeCell="K76" sqref="K76"/>
      <selection pane="topRight" activeCell="K76" sqref="K76"/>
      <selection pane="bottomLeft" activeCell="K76" sqref="K76"/>
      <selection pane="bottomRight" activeCell="O71" sqref="O71"/>
    </sheetView>
  </sheetViews>
  <sheetFormatPr defaultColWidth="9.140625" defaultRowHeight="12.75"/>
  <cols>
    <col min="1" max="3" width="9.140625" style="368" customWidth="1"/>
    <col min="4" max="4" width="16.28125" style="368" customWidth="1"/>
    <col min="5" max="5" width="9.421875" style="368" customWidth="1"/>
    <col min="6" max="6" width="2.421875" style="368" customWidth="1"/>
    <col min="7" max="7" width="9.7109375" style="368" customWidth="1"/>
    <col min="8" max="8" width="9.8515625" style="368" customWidth="1"/>
    <col min="9" max="9" width="9.140625" style="368" customWidth="1"/>
    <col min="10" max="10" width="10.140625" style="368" customWidth="1"/>
    <col min="11" max="11" width="10.28125" style="368" customWidth="1"/>
    <col min="12" max="12" width="0.85546875" style="420" customWidth="1"/>
    <col min="13" max="13" width="10.7109375" style="368" bestFit="1" customWidth="1"/>
    <col min="14" max="14" width="1.1484375" style="420" customWidth="1"/>
    <col min="15" max="15" width="14.421875" style="368" customWidth="1"/>
    <col min="16" max="16" width="12.28125" style="368" customWidth="1"/>
    <col min="17" max="17" width="10.8515625" style="368" customWidth="1"/>
    <col min="18" max="18" width="1.28515625" style="420" customWidth="1"/>
    <col min="19" max="19" width="11.28125" style="368" customWidth="1"/>
    <col min="20" max="20" width="8.8515625" style="420" customWidth="1"/>
    <col min="21" max="16384" width="9.140625" style="368" customWidth="1"/>
  </cols>
  <sheetData>
    <row r="1" spans="1:22" ht="12.75">
      <c r="A1" s="713" t="s">
        <v>510</v>
      </c>
      <c r="B1" s="713"/>
      <c r="C1" s="713"/>
      <c r="D1" s="713"/>
      <c r="E1" s="713"/>
      <c r="F1" s="714"/>
      <c r="G1" s="713"/>
      <c r="H1" s="713"/>
      <c r="I1" s="713"/>
      <c r="J1" s="713"/>
      <c r="K1" s="713"/>
      <c r="L1" s="714"/>
      <c r="M1" s="713"/>
      <c r="N1" s="714"/>
      <c r="O1" s="713"/>
      <c r="P1" s="713"/>
      <c r="Q1" s="713"/>
      <c r="R1" s="714"/>
      <c r="S1" s="713"/>
      <c r="T1" s="714"/>
      <c r="U1" s="714"/>
      <c r="V1" s="714"/>
    </row>
    <row r="2" spans="1:22" ht="12.75">
      <c r="A2" s="715" t="s">
        <v>1492</v>
      </c>
      <c r="B2" s="713"/>
      <c r="C2" s="715"/>
      <c r="D2" s="713"/>
      <c r="E2" s="713"/>
      <c r="F2" s="714"/>
      <c r="G2" s="713"/>
      <c r="H2" s="713"/>
      <c r="I2" s="713"/>
      <c r="J2" s="713"/>
      <c r="K2" s="713"/>
      <c r="L2" s="714"/>
      <c r="M2" s="713"/>
      <c r="N2" s="714"/>
      <c r="O2" s="713"/>
      <c r="P2" s="713"/>
      <c r="Q2" s="713"/>
      <c r="R2" s="714"/>
      <c r="S2" s="713"/>
      <c r="T2" s="714"/>
      <c r="U2" s="714"/>
      <c r="V2" s="714"/>
    </row>
    <row r="3" spans="1:22" ht="12.75">
      <c r="A3" s="715"/>
      <c r="B3" s="713"/>
      <c r="C3" s="715"/>
      <c r="D3" s="713"/>
      <c r="E3" s="921"/>
      <c r="F3" s="714"/>
      <c r="G3" s="921"/>
      <c r="H3" s="921"/>
      <c r="I3" s="921"/>
      <c r="J3" s="921"/>
      <c r="K3" s="713"/>
      <c r="L3" s="714"/>
      <c r="M3" s="921"/>
      <c r="N3" s="714"/>
      <c r="O3" s="921"/>
      <c r="P3" s="921"/>
      <c r="Q3" s="713"/>
      <c r="R3" s="714"/>
      <c r="S3" s="713"/>
      <c r="T3" s="714"/>
      <c r="U3" s="714"/>
      <c r="V3" s="714"/>
    </row>
    <row r="4" spans="1:22" ht="12.75">
      <c r="A4" s="711"/>
      <c r="B4" s="711"/>
      <c r="C4" s="711"/>
      <c r="D4" s="711"/>
      <c r="E4" s="711"/>
      <c r="F4" s="712"/>
      <c r="G4" s="711"/>
      <c r="H4" s="711"/>
      <c r="I4" s="711"/>
      <c r="J4" s="711"/>
      <c r="K4" s="711" t="s">
        <v>613</v>
      </c>
      <c r="L4" s="712"/>
      <c r="M4" s="711"/>
      <c r="N4" s="712"/>
      <c r="O4" s="821"/>
      <c r="P4" s="711"/>
      <c r="Q4" s="711" t="s">
        <v>917</v>
      </c>
      <c r="R4" s="712"/>
      <c r="S4" s="711" t="s">
        <v>868</v>
      </c>
      <c r="T4" s="712"/>
      <c r="U4" s="712"/>
      <c r="V4" s="712"/>
    </row>
    <row r="5" spans="1:22" ht="12.75">
      <c r="A5" s="716" t="s">
        <v>512</v>
      </c>
      <c r="B5" s="717"/>
      <c r="C5" s="717"/>
      <c r="D5" s="717"/>
      <c r="E5" s="717" t="s">
        <v>318</v>
      </c>
      <c r="F5" s="718"/>
      <c r="G5" s="717" t="s">
        <v>866</v>
      </c>
      <c r="H5" s="717" t="s">
        <v>513</v>
      </c>
      <c r="I5" s="717" t="s">
        <v>514</v>
      </c>
      <c r="J5" s="717" t="s">
        <v>515</v>
      </c>
      <c r="K5" s="717" t="s">
        <v>918</v>
      </c>
      <c r="L5" s="718"/>
      <c r="M5" s="717" t="s">
        <v>323</v>
      </c>
      <c r="N5" s="718"/>
      <c r="O5" s="717" t="s">
        <v>518</v>
      </c>
      <c r="P5" s="717" t="s">
        <v>350</v>
      </c>
      <c r="Q5" s="717" t="s">
        <v>918</v>
      </c>
      <c r="R5" s="718"/>
      <c r="S5" s="717" t="s">
        <v>918</v>
      </c>
      <c r="T5" s="718"/>
      <c r="U5" s="718"/>
      <c r="V5" s="718"/>
    </row>
    <row r="6" spans="1:22" ht="12.75">
      <c r="A6" s="713"/>
      <c r="B6" s="713"/>
      <c r="C6" s="713"/>
      <c r="D6" s="713"/>
      <c r="E6" s="717" t="s">
        <v>521</v>
      </c>
      <c r="F6" s="718"/>
      <c r="G6" s="717" t="s">
        <v>521</v>
      </c>
      <c r="H6" s="717" t="s">
        <v>521</v>
      </c>
      <c r="I6" s="717" t="s">
        <v>521</v>
      </c>
      <c r="J6" s="717" t="s">
        <v>521</v>
      </c>
      <c r="K6" s="717" t="s">
        <v>521</v>
      </c>
      <c r="L6" s="718"/>
      <c r="M6" s="717" t="s">
        <v>521</v>
      </c>
      <c r="N6" s="718"/>
      <c r="O6" s="717" t="s">
        <v>521</v>
      </c>
      <c r="P6" s="717" t="s">
        <v>521</v>
      </c>
      <c r="Q6" s="717" t="s">
        <v>521</v>
      </c>
      <c r="R6" s="718"/>
      <c r="S6" s="717" t="s">
        <v>521</v>
      </c>
      <c r="T6" s="718"/>
      <c r="U6" s="718"/>
      <c r="V6" s="718"/>
    </row>
    <row r="7" spans="1:22" ht="12.75">
      <c r="A7" s="713"/>
      <c r="B7" s="713"/>
      <c r="C7" s="713"/>
      <c r="D7" s="713"/>
      <c r="E7" s="717"/>
      <c r="F7" s="718"/>
      <c r="G7" s="717"/>
      <c r="H7" s="717"/>
      <c r="I7" s="717"/>
      <c r="J7" s="717"/>
      <c r="K7" s="717"/>
      <c r="L7" s="718"/>
      <c r="M7" s="717"/>
      <c r="N7" s="718"/>
      <c r="O7" s="717"/>
      <c r="P7" s="717"/>
      <c r="Q7" s="717"/>
      <c r="R7" s="718"/>
      <c r="S7" s="717"/>
      <c r="T7" s="718"/>
      <c r="U7" s="718"/>
      <c r="V7" s="714"/>
    </row>
    <row r="8" spans="1:20" ht="15" customHeight="1">
      <c r="A8" s="713" t="s">
        <v>522</v>
      </c>
      <c r="B8" s="713"/>
      <c r="C8" s="713"/>
      <c r="D8" s="713"/>
      <c r="E8" s="454">
        <v>0</v>
      </c>
      <c r="F8" s="456"/>
      <c r="G8" s="454">
        <v>0</v>
      </c>
      <c r="H8" s="454">
        <v>1056.506</v>
      </c>
      <c r="I8" s="454">
        <v>0</v>
      </c>
      <c r="J8" s="454">
        <v>0</v>
      </c>
      <c r="K8" s="454">
        <f>SUM(G8:J8)</f>
        <v>1056.506</v>
      </c>
      <c r="L8" s="456"/>
      <c r="M8" s="454">
        <v>816.608</v>
      </c>
      <c r="N8" s="456"/>
      <c r="O8" s="454">
        <f>199914312/1000</f>
        <v>199914.312</v>
      </c>
      <c r="P8" s="454">
        <v>44037.889</v>
      </c>
      <c r="Q8" s="454">
        <f>SUM(O8:P8)</f>
        <v>243952.201</v>
      </c>
      <c r="R8" s="454"/>
      <c r="S8" s="454">
        <f>+Q8+K8+E8+M8</f>
        <v>245825.315</v>
      </c>
      <c r="T8" s="456"/>
    </row>
    <row r="9" spans="1:20" s="420" customFormat="1" ht="12.75">
      <c r="A9" s="714" t="s">
        <v>523</v>
      </c>
      <c r="B9" s="714"/>
      <c r="C9" s="714"/>
      <c r="D9" s="714"/>
      <c r="E9" s="454">
        <v>0</v>
      </c>
      <c r="F9" s="456"/>
      <c r="G9" s="454">
        <v>0</v>
      </c>
      <c r="H9" s="454">
        <v>-779.856</v>
      </c>
      <c r="I9" s="454">
        <v>0</v>
      </c>
      <c r="J9" s="454">
        <v>0</v>
      </c>
      <c r="K9" s="454">
        <f>SUM(G9:J9)</f>
        <v>-779.856</v>
      </c>
      <c r="L9" s="456"/>
      <c r="M9" s="454">
        <f>-1209.084-M10</f>
        <v>-1108.396</v>
      </c>
      <c r="N9" s="456"/>
      <c r="O9" s="454">
        <f>-(143623952/1000+10442.714+10671.56+264842/1000+704062/1000)-O10-O64-O66-O68</f>
        <v>-152816.679</v>
      </c>
      <c r="P9" s="454">
        <f>-(37747.964+1725.488+607.568)-P10-36.645</f>
        <v>-39574.534999999996</v>
      </c>
      <c r="Q9" s="456">
        <f>SUM(O9:P9)</f>
        <v>-192391.214</v>
      </c>
      <c r="R9" s="456"/>
      <c r="S9" s="454">
        <f>+Q9+K9+E9+M9</f>
        <v>-194279.46600000001</v>
      </c>
      <c r="T9" s="456"/>
    </row>
    <row r="10" spans="1:20" ht="12.75">
      <c r="A10" s="713" t="s">
        <v>956</v>
      </c>
      <c r="B10" s="713"/>
      <c r="C10" s="713"/>
      <c r="D10" s="713"/>
      <c r="E10" s="454">
        <v>0</v>
      </c>
      <c r="F10" s="456"/>
      <c r="G10" s="454">
        <v>0</v>
      </c>
      <c r="H10" s="454">
        <v>0</v>
      </c>
      <c r="I10" s="454">
        <v>0</v>
      </c>
      <c r="J10" s="454">
        <v>0</v>
      </c>
      <c r="K10" s="454">
        <f>SUM(G10:J10)</f>
        <v>0</v>
      </c>
      <c r="L10" s="456"/>
      <c r="M10" s="454">
        <v>-100.688</v>
      </c>
      <c r="N10" s="456"/>
      <c r="O10" s="454">
        <f>-15362939/1000</f>
        <v>-15362.939</v>
      </c>
      <c r="P10" s="454">
        <v>-543.13</v>
      </c>
      <c r="Q10" s="456">
        <f>SUM(O10:P10)</f>
        <v>-15906.069</v>
      </c>
      <c r="R10" s="456"/>
      <c r="S10" s="454">
        <f>+Q10+K10+E10+M10</f>
        <v>-16006.757</v>
      </c>
      <c r="T10" s="456"/>
    </row>
    <row r="11" spans="1:20" ht="12.75">
      <c r="A11" s="713" t="s">
        <v>525</v>
      </c>
      <c r="B11" s="713"/>
      <c r="C11" s="713"/>
      <c r="D11" s="713"/>
      <c r="E11" s="719">
        <f aca="true" t="shared" si="0" ref="E11:K11">SUM(E8:E10)</f>
        <v>0</v>
      </c>
      <c r="F11" s="456"/>
      <c r="G11" s="719">
        <f t="shared" si="0"/>
        <v>0</v>
      </c>
      <c r="H11" s="719">
        <f t="shared" si="0"/>
        <v>276.6500000000001</v>
      </c>
      <c r="I11" s="719">
        <f t="shared" si="0"/>
        <v>0</v>
      </c>
      <c r="J11" s="719">
        <f>SUM(J8:J10)</f>
        <v>0</v>
      </c>
      <c r="K11" s="719">
        <f t="shared" si="0"/>
        <v>276.6500000000001</v>
      </c>
      <c r="L11" s="456"/>
      <c r="M11" s="719">
        <f>SUM(M8:M10)</f>
        <v>-392.476</v>
      </c>
      <c r="N11" s="456"/>
      <c r="O11" s="719">
        <f>SUM(O8:O10)</f>
        <v>31734.694000000003</v>
      </c>
      <c r="P11" s="719">
        <f>SUM(P8:P10)</f>
        <v>3920.2240000000065</v>
      </c>
      <c r="Q11" s="719">
        <f>SUM(Q8:Q10)</f>
        <v>35654.91799999999</v>
      </c>
      <c r="R11" s="456"/>
      <c r="S11" s="719">
        <f>SUM(S8:S10)</f>
        <v>35539.09199999999</v>
      </c>
      <c r="T11" s="456"/>
    </row>
    <row r="12" spans="1:20" ht="12.75">
      <c r="A12" s="713" t="s">
        <v>957</v>
      </c>
      <c r="B12" s="713"/>
      <c r="C12" s="713"/>
      <c r="D12" s="713"/>
      <c r="E12" s="720"/>
      <c r="F12" s="720"/>
      <c r="G12" s="721">
        <v>0</v>
      </c>
      <c r="H12" s="721">
        <f aca="true" t="shared" si="1" ref="H12:Q12">ROUND(+H11/H8,4)</f>
        <v>0.2619</v>
      </c>
      <c r="I12" s="721">
        <v>0</v>
      </c>
      <c r="J12" s="721">
        <v>0</v>
      </c>
      <c r="K12" s="721">
        <f t="shared" si="1"/>
        <v>0.2619</v>
      </c>
      <c r="L12" s="721"/>
      <c r="M12" s="721">
        <f t="shared" si="1"/>
        <v>-0.4806</v>
      </c>
      <c r="N12" s="721"/>
      <c r="O12" s="721">
        <f t="shared" si="1"/>
        <v>0.1587</v>
      </c>
      <c r="P12" s="721">
        <f t="shared" si="1"/>
        <v>0.089</v>
      </c>
      <c r="Q12" s="721">
        <f t="shared" si="1"/>
        <v>0.1462</v>
      </c>
      <c r="R12" s="722"/>
      <c r="S12" s="721">
        <f>ROUND(+S11/S8,4)</f>
        <v>0.1446</v>
      </c>
      <c r="T12" s="722"/>
    </row>
    <row r="13" spans="1:20" ht="15" customHeight="1">
      <c r="A13" s="713"/>
      <c r="B13" s="713"/>
      <c r="C13" s="713"/>
      <c r="D13" s="713"/>
      <c r="E13" s="723"/>
      <c r="F13" s="722"/>
      <c r="G13" s="723"/>
      <c r="H13" s="723"/>
      <c r="I13" s="723"/>
      <c r="J13" s="723"/>
      <c r="K13" s="723"/>
      <c r="L13" s="722"/>
      <c r="M13" s="723"/>
      <c r="N13" s="722"/>
      <c r="O13" s="723"/>
      <c r="P13" s="723"/>
      <c r="Q13" s="723"/>
      <c r="R13" s="723"/>
      <c r="S13" s="723"/>
      <c r="T13" s="722"/>
    </row>
    <row r="14" spans="1:20" ht="12.75">
      <c r="A14" s="713" t="s">
        <v>526</v>
      </c>
      <c r="B14" s="713"/>
      <c r="C14" s="713"/>
      <c r="D14" s="713"/>
      <c r="E14" s="454">
        <f>120</f>
        <v>120</v>
      </c>
      <c r="F14" s="456"/>
      <c r="G14" s="454">
        <v>0</v>
      </c>
      <c r="H14" s="454">
        <v>0</v>
      </c>
      <c r="I14" s="454">
        <v>0</v>
      </c>
      <c r="J14" s="454">
        <v>0</v>
      </c>
      <c r="K14" s="454">
        <f aca="true" t="shared" si="2" ref="K14:K27">SUM(G14:J14)</f>
        <v>0</v>
      </c>
      <c r="L14" s="456"/>
      <c r="M14" s="454">
        <v>0</v>
      </c>
      <c r="N14" s="456"/>
      <c r="O14" s="454">
        <f>911373/1000</f>
        <v>911.373</v>
      </c>
      <c r="P14" s="454">
        <v>0</v>
      </c>
      <c r="Q14" s="456">
        <f aca="true" t="shared" si="3" ref="Q14:Q28">SUM(O14:P14)</f>
        <v>911.373</v>
      </c>
      <c r="R14" s="723"/>
      <c r="S14" s="454">
        <f aca="true" t="shared" si="4" ref="S14:S23">+Q14+K14+E14+M14</f>
        <v>1031.373</v>
      </c>
      <c r="T14" s="456"/>
    </row>
    <row r="15" spans="1:20" ht="12.75">
      <c r="A15" s="713" t="s">
        <v>40</v>
      </c>
      <c r="B15" s="713"/>
      <c r="C15" s="713"/>
      <c r="D15" s="713"/>
      <c r="E15" s="454">
        <f>1999.897+15.2</f>
        <v>2015.097</v>
      </c>
      <c r="F15" s="456"/>
      <c r="G15" s="454">
        <v>0</v>
      </c>
      <c r="H15" s="454">
        <v>0</v>
      </c>
      <c r="I15" s="454">
        <v>0</v>
      </c>
      <c r="J15" s="454">
        <v>0</v>
      </c>
      <c r="K15" s="454">
        <f t="shared" si="2"/>
        <v>0</v>
      </c>
      <c r="L15" s="456"/>
      <c r="M15" s="454">
        <v>0</v>
      </c>
      <c r="N15" s="456"/>
      <c r="O15" s="454"/>
      <c r="P15" s="454">
        <v>0</v>
      </c>
      <c r="Q15" s="456">
        <f t="shared" si="3"/>
        <v>0</v>
      </c>
      <c r="R15" s="454"/>
      <c r="S15" s="454">
        <f t="shared" si="4"/>
        <v>2015.097</v>
      </c>
      <c r="T15" s="456"/>
    </row>
    <row r="16" spans="1:20" ht="12.75">
      <c r="A16" s="713" t="s">
        <v>527</v>
      </c>
      <c r="B16" s="713"/>
      <c r="C16" s="713"/>
      <c r="D16" s="713"/>
      <c r="E16" s="454">
        <v>0</v>
      </c>
      <c r="F16" s="456"/>
      <c r="G16" s="454">
        <v>0</v>
      </c>
      <c r="H16" s="454">
        <v>0</v>
      </c>
      <c r="I16" s="454">
        <v>0</v>
      </c>
      <c r="J16" s="454">
        <v>0</v>
      </c>
      <c r="K16" s="454">
        <f t="shared" si="2"/>
        <v>0</v>
      </c>
      <c r="L16" s="456"/>
      <c r="M16" s="454">
        <v>0</v>
      </c>
      <c r="N16" s="456"/>
      <c r="O16" s="454">
        <v>0</v>
      </c>
      <c r="P16" s="454">
        <v>0</v>
      </c>
      <c r="Q16" s="456">
        <f t="shared" si="3"/>
        <v>0</v>
      </c>
      <c r="R16" s="454"/>
      <c r="S16" s="454">
        <f t="shared" si="4"/>
        <v>0</v>
      </c>
      <c r="T16" s="456"/>
    </row>
    <row r="17" spans="1:20" ht="12.75">
      <c r="A17" s="713" t="s">
        <v>958</v>
      </c>
      <c r="B17" s="713"/>
      <c r="C17" s="713"/>
      <c r="D17" s="713"/>
      <c r="E17" s="454">
        <v>300</v>
      </c>
      <c r="F17" s="456"/>
      <c r="G17" s="454">
        <v>8.4</v>
      </c>
      <c r="H17" s="454">
        <f>457.053+10+10</f>
        <v>477.053</v>
      </c>
      <c r="I17" s="454">
        <v>0</v>
      </c>
      <c r="J17" s="454">
        <v>0</v>
      </c>
      <c r="K17" s="454">
        <f t="shared" si="2"/>
        <v>485.453</v>
      </c>
      <c r="L17" s="456"/>
      <c r="M17" s="454">
        <v>0</v>
      </c>
      <c r="N17" s="456"/>
      <c r="O17" s="454">
        <v>120</v>
      </c>
      <c r="P17" s="454">
        <v>0</v>
      </c>
      <c r="Q17" s="456">
        <f t="shared" si="3"/>
        <v>120</v>
      </c>
      <c r="R17" s="454"/>
      <c r="S17" s="454">
        <f t="shared" si="4"/>
        <v>905.453</v>
      </c>
      <c r="T17" s="456"/>
    </row>
    <row r="18" spans="1:20" ht="12.75">
      <c r="A18" s="713" t="s">
        <v>79</v>
      </c>
      <c r="B18" s="713"/>
      <c r="C18" s="713"/>
      <c r="D18" s="713"/>
      <c r="E18" s="454">
        <v>0</v>
      </c>
      <c r="F18" s="456"/>
      <c r="G18" s="454">
        <v>0</v>
      </c>
      <c r="H18" s="454">
        <v>0</v>
      </c>
      <c r="I18" s="454">
        <v>0</v>
      </c>
      <c r="J18" s="454">
        <v>0</v>
      </c>
      <c r="K18" s="454">
        <f t="shared" si="2"/>
        <v>0</v>
      </c>
      <c r="L18" s="456"/>
      <c r="M18" s="454">
        <v>0</v>
      </c>
      <c r="N18" s="456"/>
      <c r="O18" s="454">
        <v>0</v>
      </c>
      <c r="P18" s="454">
        <v>0</v>
      </c>
      <c r="Q18" s="456">
        <f t="shared" si="3"/>
        <v>0</v>
      </c>
      <c r="R18" s="454"/>
      <c r="S18" s="454">
        <f t="shared" si="4"/>
        <v>0</v>
      </c>
      <c r="T18" s="456"/>
    </row>
    <row r="19" spans="1:20" ht="12.75" hidden="1">
      <c r="A19" s="713" t="s">
        <v>959</v>
      </c>
      <c r="B19" s="713"/>
      <c r="C19" s="713"/>
      <c r="D19" s="713"/>
      <c r="E19" s="454">
        <v>0</v>
      </c>
      <c r="F19" s="456"/>
      <c r="G19" s="454"/>
      <c r="H19" s="454"/>
      <c r="I19" s="454"/>
      <c r="J19" s="454"/>
      <c r="K19" s="454">
        <f t="shared" si="2"/>
        <v>0</v>
      </c>
      <c r="L19" s="456"/>
      <c r="M19" s="454">
        <v>0</v>
      </c>
      <c r="N19" s="456"/>
      <c r="O19" s="454">
        <v>0</v>
      </c>
      <c r="P19" s="454">
        <v>0</v>
      </c>
      <c r="Q19" s="456">
        <f t="shared" si="3"/>
        <v>0</v>
      </c>
      <c r="R19" s="454"/>
      <c r="S19" s="454">
        <f t="shared" si="4"/>
        <v>0</v>
      </c>
      <c r="T19" s="456"/>
    </row>
    <row r="20" spans="1:20" ht="12.75" hidden="1">
      <c r="A20" s="713" t="s">
        <v>960</v>
      </c>
      <c r="B20" s="713"/>
      <c r="C20" s="713"/>
      <c r="D20" s="713"/>
      <c r="E20" s="454">
        <v>0</v>
      </c>
      <c r="F20" s="456"/>
      <c r="G20" s="454"/>
      <c r="H20" s="454"/>
      <c r="I20" s="454"/>
      <c r="J20" s="454"/>
      <c r="K20" s="454">
        <f t="shared" si="2"/>
        <v>0</v>
      </c>
      <c r="L20" s="456"/>
      <c r="M20" s="454">
        <v>0</v>
      </c>
      <c r="N20" s="456"/>
      <c r="O20" s="454">
        <v>0</v>
      </c>
      <c r="P20" s="454">
        <v>0</v>
      </c>
      <c r="Q20" s="456">
        <f t="shared" si="3"/>
        <v>0</v>
      </c>
      <c r="R20" s="454"/>
      <c r="S20" s="454">
        <f t="shared" si="4"/>
        <v>0</v>
      </c>
      <c r="T20" s="456"/>
    </row>
    <row r="21" spans="1:20" ht="12.75" hidden="1">
      <c r="A21" s="713" t="s">
        <v>961</v>
      </c>
      <c r="B21" s="713"/>
      <c r="C21" s="713"/>
      <c r="D21" s="713"/>
      <c r="E21" s="454">
        <v>0</v>
      </c>
      <c r="F21" s="456"/>
      <c r="G21" s="454"/>
      <c r="H21" s="454"/>
      <c r="I21" s="454"/>
      <c r="J21" s="454"/>
      <c r="K21" s="454">
        <f t="shared" si="2"/>
        <v>0</v>
      </c>
      <c r="L21" s="456"/>
      <c r="M21" s="454">
        <v>0</v>
      </c>
      <c r="N21" s="456"/>
      <c r="O21" s="454">
        <v>0</v>
      </c>
      <c r="P21" s="454">
        <v>0</v>
      </c>
      <c r="Q21" s="456">
        <f t="shared" si="3"/>
        <v>0</v>
      </c>
      <c r="R21" s="454"/>
      <c r="S21" s="454">
        <f t="shared" si="4"/>
        <v>0</v>
      </c>
      <c r="T21" s="456"/>
    </row>
    <row r="22" spans="1:20" ht="12.75">
      <c r="A22" s="713" t="s">
        <v>1460</v>
      </c>
      <c r="B22" s="713"/>
      <c r="C22" s="713"/>
      <c r="D22" s="713"/>
      <c r="E22" s="454">
        <f>798.741</f>
        <v>798.741</v>
      </c>
      <c r="F22" s="456"/>
      <c r="G22" s="454">
        <v>0</v>
      </c>
      <c r="H22" s="454">
        <v>0</v>
      </c>
      <c r="I22" s="454">
        <v>0</v>
      </c>
      <c r="J22" s="454">
        <v>0</v>
      </c>
      <c r="K22" s="454">
        <f t="shared" si="2"/>
        <v>0</v>
      </c>
      <c r="L22" s="456"/>
      <c r="M22" s="454">
        <v>0</v>
      </c>
      <c r="N22" s="456"/>
      <c r="O22" s="454">
        <v>0</v>
      </c>
      <c r="P22" s="454">
        <v>0</v>
      </c>
      <c r="Q22" s="456">
        <f t="shared" si="3"/>
        <v>0</v>
      </c>
      <c r="R22" s="454"/>
      <c r="S22" s="454">
        <f t="shared" si="4"/>
        <v>798.741</v>
      </c>
      <c r="T22" s="456"/>
    </row>
    <row r="23" spans="1:20" ht="12.75">
      <c r="A23" s="713" t="s">
        <v>1307</v>
      </c>
      <c r="B23" s="713"/>
      <c r="C23" s="713"/>
      <c r="D23" s="713"/>
      <c r="E23" s="454">
        <v>36.999</v>
      </c>
      <c r="F23" s="456"/>
      <c r="G23" s="454"/>
      <c r="H23" s="454">
        <f>53.336+2.62+0.143</f>
        <v>56.099</v>
      </c>
      <c r="I23" s="454">
        <v>10.699</v>
      </c>
      <c r="J23" s="454"/>
      <c r="K23" s="454">
        <f t="shared" si="2"/>
        <v>66.798</v>
      </c>
      <c r="L23" s="456"/>
      <c r="M23" s="454"/>
      <c r="N23" s="456"/>
      <c r="O23" s="454">
        <v>0.05</v>
      </c>
      <c r="P23" s="454">
        <v>0.6</v>
      </c>
      <c r="Q23" s="456">
        <f t="shared" si="3"/>
        <v>0.65</v>
      </c>
      <c r="R23" s="454"/>
      <c r="S23" s="454">
        <f t="shared" si="4"/>
        <v>104.447</v>
      </c>
      <c r="T23" s="456"/>
    </row>
    <row r="24" spans="1:20" ht="12.75">
      <c r="A24" s="713" t="s">
        <v>1324</v>
      </c>
      <c r="B24" s="713"/>
      <c r="C24" s="713"/>
      <c r="D24" s="713"/>
      <c r="E24" s="454"/>
      <c r="F24" s="456"/>
      <c r="G24" s="454">
        <v>0</v>
      </c>
      <c r="H24" s="454">
        <v>58.471</v>
      </c>
      <c r="I24" s="454">
        <v>0</v>
      </c>
      <c r="J24" s="375">
        <v>0.15</v>
      </c>
      <c r="K24" s="454">
        <f t="shared" si="2"/>
        <v>58.620999999999995</v>
      </c>
      <c r="L24" s="456"/>
      <c r="M24" s="454">
        <v>0</v>
      </c>
      <c r="N24" s="456"/>
      <c r="O24" s="454">
        <f>63541/1000</f>
        <v>63.541</v>
      </c>
      <c r="P24" s="454"/>
      <c r="Q24" s="456">
        <f t="shared" si="3"/>
        <v>63.541</v>
      </c>
      <c r="R24" s="456"/>
      <c r="S24" s="454">
        <f>+Q24+K24+E24+M24</f>
        <v>122.16199999999999</v>
      </c>
      <c r="T24" s="456"/>
    </row>
    <row r="25" spans="1:20" ht="15" customHeight="1">
      <c r="A25" s="713" t="s">
        <v>185</v>
      </c>
      <c r="B25" s="713"/>
      <c r="C25" s="713"/>
      <c r="D25" s="713"/>
      <c r="E25" s="454">
        <v>0</v>
      </c>
      <c r="F25" s="456"/>
      <c r="G25" s="454">
        <v>70.277</v>
      </c>
      <c r="H25" s="454">
        <v>296.367</v>
      </c>
      <c r="I25" s="454">
        <v>8</v>
      </c>
      <c r="J25" s="454">
        <v>115.712</v>
      </c>
      <c r="K25" s="454">
        <f t="shared" si="2"/>
        <v>490.356</v>
      </c>
      <c r="L25" s="456"/>
      <c r="M25" s="454">
        <v>0</v>
      </c>
      <c r="N25" s="456"/>
      <c r="O25" s="454"/>
      <c r="P25" s="454">
        <v>0</v>
      </c>
      <c r="Q25" s="456">
        <f t="shared" si="3"/>
        <v>0</v>
      </c>
      <c r="R25" s="456"/>
      <c r="S25" s="454">
        <f>+Q25+K25+E25+M25</f>
        <v>490.356</v>
      </c>
      <c r="T25" s="456"/>
    </row>
    <row r="26" spans="1:20" ht="12.75">
      <c r="A26" s="713" t="s">
        <v>1211</v>
      </c>
      <c r="B26" s="713"/>
      <c r="C26" s="713"/>
      <c r="D26" s="713"/>
      <c r="E26" s="454">
        <v>42</v>
      </c>
      <c r="F26" s="456"/>
      <c r="G26" s="454">
        <v>0</v>
      </c>
      <c r="H26" s="454">
        <v>0</v>
      </c>
      <c r="I26" s="454">
        <v>0</v>
      </c>
      <c r="J26" s="454">
        <v>0</v>
      </c>
      <c r="K26" s="454">
        <f t="shared" si="2"/>
        <v>0</v>
      </c>
      <c r="L26" s="456"/>
      <c r="M26" s="454">
        <v>0</v>
      </c>
      <c r="N26" s="456"/>
      <c r="O26" s="454">
        <v>0</v>
      </c>
      <c r="P26" s="454">
        <v>0</v>
      </c>
      <c r="Q26" s="456">
        <f t="shared" si="3"/>
        <v>0</v>
      </c>
      <c r="R26" s="456"/>
      <c r="S26" s="454">
        <f>+Q26+K26+E26+M26</f>
        <v>42</v>
      </c>
      <c r="T26" s="456"/>
    </row>
    <row r="27" spans="1:20" ht="12.75">
      <c r="A27" s="713" t="s">
        <v>532</v>
      </c>
      <c r="B27" s="713"/>
      <c r="C27" s="713"/>
      <c r="D27" s="713"/>
      <c r="E27" s="454">
        <v>0</v>
      </c>
      <c r="F27" s="456"/>
      <c r="G27" s="454">
        <v>0</v>
      </c>
      <c r="H27" s="454">
        <v>0</v>
      </c>
      <c r="I27" s="454">
        <v>0</v>
      </c>
      <c r="J27" s="454">
        <v>0</v>
      </c>
      <c r="K27" s="454">
        <f t="shared" si="2"/>
        <v>0</v>
      </c>
      <c r="L27" s="456"/>
      <c r="M27" s="454">
        <v>0</v>
      </c>
      <c r="N27" s="456"/>
      <c r="O27" s="454">
        <v>0</v>
      </c>
      <c r="P27" s="454">
        <v>3</v>
      </c>
      <c r="Q27" s="456">
        <f t="shared" si="3"/>
        <v>3</v>
      </c>
      <c r="R27" s="454"/>
      <c r="S27" s="454">
        <f>+Q27+K27+E27+M27</f>
        <v>3</v>
      </c>
      <c r="T27" s="456"/>
    </row>
    <row r="28" spans="1:20" ht="12.75">
      <c r="A28" s="713" t="s">
        <v>838</v>
      </c>
      <c r="B28" s="713"/>
      <c r="C28" s="713"/>
      <c r="D28" s="713"/>
      <c r="E28" s="454">
        <v>33.985</v>
      </c>
      <c r="F28" s="456"/>
      <c r="G28" s="454">
        <v>0</v>
      </c>
      <c r="H28" s="454">
        <v>3.026</v>
      </c>
      <c r="I28" s="454">
        <v>0</v>
      </c>
      <c r="J28" s="454">
        <v>0</v>
      </c>
      <c r="K28" s="454">
        <f>SUM(G28:J28)</f>
        <v>3.026</v>
      </c>
      <c r="L28" s="456"/>
      <c r="M28" s="454">
        <v>0</v>
      </c>
      <c r="N28" s="456"/>
      <c r="O28" s="454">
        <f>1069916/1000</f>
        <v>1069.916</v>
      </c>
      <c r="P28" s="454">
        <v>55.249</v>
      </c>
      <c r="Q28" s="456">
        <f t="shared" si="3"/>
        <v>1125.165</v>
      </c>
      <c r="R28" s="454"/>
      <c r="S28" s="454">
        <f>+Q28+K28+E28+M28</f>
        <v>1162.176</v>
      </c>
      <c r="T28" s="456"/>
    </row>
    <row r="29" spans="1:20" ht="12.75">
      <c r="A29" s="713"/>
      <c r="B29" s="713"/>
      <c r="C29" s="713"/>
      <c r="D29" s="713"/>
      <c r="E29" s="461">
        <f aca="true" t="shared" si="5" ref="E29:M29">SUM(E14:E28)</f>
        <v>3346.8219999999997</v>
      </c>
      <c r="F29" s="456"/>
      <c r="G29" s="461">
        <f t="shared" si="5"/>
        <v>78.677</v>
      </c>
      <c r="H29" s="461">
        <f t="shared" si="5"/>
        <v>891.016</v>
      </c>
      <c r="I29" s="461">
        <f t="shared" si="5"/>
        <v>18.698999999999998</v>
      </c>
      <c r="J29" s="461">
        <f t="shared" si="5"/>
        <v>115.86200000000001</v>
      </c>
      <c r="K29" s="461">
        <f t="shared" si="5"/>
        <v>1104.2540000000001</v>
      </c>
      <c r="L29" s="456"/>
      <c r="M29" s="461">
        <f t="shared" si="5"/>
        <v>0</v>
      </c>
      <c r="N29" s="456"/>
      <c r="O29" s="461">
        <f>SUM(O14:O28)</f>
        <v>2164.88</v>
      </c>
      <c r="P29" s="461">
        <f>SUM(P14:P28)</f>
        <v>58.849000000000004</v>
      </c>
      <c r="Q29" s="719">
        <f>SUM(Q14:Q28)</f>
        <v>2223.7290000000003</v>
      </c>
      <c r="R29" s="454"/>
      <c r="S29" s="719">
        <f>SUM(S14:S28)</f>
        <v>6674.805</v>
      </c>
      <c r="T29" s="456"/>
    </row>
    <row r="30" spans="1:20" ht="12.75">
      <c r="A30" s="713"/>
      <c r="B30" s="713"/>
      <c r="C30" s="724"/>
      <c r="D30" s="713"/>
      <c r="E30" s="454"/>
      <c r="F30" s="456"/>
      <c r="G30" s="454"/>
      <c r="H30" s="454"/>
      <c r="I30" s="454"/>
      <c r="J30" s="454"/>
      <c r="K30" s="454"/>
      <c r="L30" s="456"/>
      <c r="M30" s="454"/>
      <c r="N30" s="456"/>
      <c r="O30" s="454"/>
      <c r="P30" s="454"/>
      <c r="Q30" s="454"/>
      <c r="R30" s="454"/>
      <c r="S30" s="454"/>
      <c r="T30" s="456"/>
    </row>
    <row r="31" spans="1:20" ht="12.75">
      <c r="A31" s="713" t="s">
        <v>533</v>
      </c>
      <c r="B31" s="713"/>
      <c r="C31" s="725"/>
      <c r="D31" s="713"/>
      <c r="E31" s="454">
        <f>1996.091-E32-E33-E34-E35-E36-E37-E41-E42-E43-E45-E46-E47-E49</f>
        <v>347.7289999999999</v>
      </c>
      <c r="F31" s="456"/>
      <c r="G31" s="454">
        <f>134.266-G32-G33-G34-G35-G36-G37-G41-G42-G43-G47-G49-G51</f>
        <v>134.743</v>
      </c>
      <c r="H31" s="454">
        <f>708.319-H32-H33-H34-H35-H36-H37-H41-H42-H45-H46-H47-H49</f>
        <v>128.3569999999999</v>
      </c>
      <c r="I31" s="454">
        <f>4.545+0.781-I32-I33-I34-I35-I36-I37-I41-I42-I43-I45-I46-I47-I49</f>
        <v>3.0449999999999995</v>
      </c>
      <c r="J31" s="454">
        <f>103.501-J32-J33-J34-J35-J36-J37-J41-J42-J43-J45-J46-J47-J49</f>
        <v>83.84200000000001</v>
      </c>
      <c r="K31" s="454">
        <f aca="true" t="shared" si="6" ref="K31:K37">SUM(G31:J31)</f>
        <v>349.98699999999997</v>
      </c>
      <c r="L31" s="456"/>
      <c r="M31" s="454">
        <f>34.207-M32-M33-M34-M35-M36-M37-M41-M42-M43-M45-M46-M47-M49</f>
        <v>4.614999999999998</v>
      </c>
      <c r="N31" s="456"/>
      <c r="O31" s="454">
        <v>2530.429000000002</v>
      </c>
      <c r="P31" s="454">
        <f>(4056.945)-P32-P33-P34-P35-P36-P37-P41-P42-P43-P45-P46-P47-P49-1725.488-607.568</f>
        <v>692.4000000000001</v>
      </c>
      <c r="Q31" s="456">
        <f aca="true" t="shared" si="7" ref="Q31:Q37">SUM(O31:P31)</f>
        <v>3222.829000000002</v>
      </c>
      <c r="R31" s="454"/>
      <c r="S31" s="454">
        <f aca="true" t="shared" si="8" ref="S31:S37">+Q31+K31+E31+M31</f>
        <v>3925.1600000000017</v>
      </c>
      <c r="T31" s="456"/>
    </row>
    <row r="32" spans="1:20" ht="12.75">
      <c r="A32" s="713" t="s">
        <v>534</v>
      </c>
      <c r="B32" s="713"/>
      <c r="C32" s="713"/>
      <c r="D32" s="713"/>
      <c r="E32" s="454">
        <v>18</v>
      </c>
      <c r="F32" s="456"/>
      <c r="G32" s="454">
        <v>-12</v>
      </c>
      <c r="H32" s="454">
        <v>4</v>
      </c>
      <c r="I32" s="454">
        <v>1.5</v>
      </c>
      <c r="J32" s="454">
        <v>-8.5</v>
      </c>
      <c r="K32" s="454">
        <f t="shared" si="6"/>
        <v>-15</v>
      </c>
      <c r="L32" s="456"/>
      <c r="M32" s="454">
        <v>4</v>
      </c>
      <c r="N32" s="456"/>
      <c r="O32" s="454">
        <v>15</v>
      </c>
      <c r="P32" s="454">
        <v>15</v>
      </c>
      <c r="Q32" s="456">
        <f t="shared" si="7"/>
        <v>30</v>
      </c>
      <c r="R32" s="454"/>
      <c r="S32" s="454">
        <f t="shared" si="8"/>
        <v>37</v>
      </c>
      <c r="T32" s="456"/>
    </row>
    <row r="33" spans="1:20" ht="12.75">
      <c r="A33" s="713" t="s">
        <v>536</v>
      </c>
      <c r="B33" s="713"/>
      <c r="C33" s="713"/>
      <c r="D33" s="713"/>
      <c r="E33" s="454">
        <v>0</v>
      </c>
      <c r="F33" s="456"/>
      <c r="G33" s="454">
        <v>0</v>
      </c>
      <c r="H33" s="454">
        <v>0</v>
      </c>
      <c r="I33" s="454">
        <v>0</v>
      </c>
      <c r="J33" s="454">
        <v>0</v>
      </c>
      <c r="K33" s="454">
        <f t="shared" si="6"/>
        <v>0</v>
      </c>
      <c r="L33" s="456"/>
      <c r="M33" s="454">
        <v>0</v>
      </c>
      <c r="N33" s="456"/>
      <c r="O33" s="454">
        <f>831+430</f>
        <v>1261</v>
      </c>
      <c r="P33" s="454">
        <f>46.768+91.84</f>
        <v>138.608</v>
      </c>
      <c r="Q33" s="456">
        <f t="shared" si="7"/>
        <v>1399.608</v>
      </c>
      <c r="R33" s="454"/>
      <c r="S33" s="454">
        <f t="shared" si="8"/>
        <v>1399.608</v>
      </c>
      <c r="T33" s="456"/>
    </row>
    <row r="34" spans="1:20" ht="12.75">
      <c r="A34" s="713" t="s">
        <v>537</v>
      </c>
      <c r="B34" s="713"/>
      <c r="C34" s="713"/>
      <c r="D34" s="713"/>
      <c r="E34" s="454">
        <v>0</v>
      </c>
      <c r="F34" s="456"/>
      <c r="G34" s="454">
        <v>0</v>
      </c>
      <c r="H34" s="454">
        <v>0</v>
      </c>
      <c r="I34" s="454">
        <v>0</v>
      </c>
      <c r="J34" s="454">
        <v>0</v>
      </c>
      <c r="K34" s="454">
        <f t="shared" si="6"/>
        <v>0</v>
      </c>
      <c r="L34" s="456"/>
      <c r="M34" s="454">
        <v>0</v>
      </c>
      <c r="N34" s="456"/>
      <c r="O34" s="454">
        <f>311.095+52.378</f>
        <v>363.473</v>
      </c>
      <c r="P34" s="454">
        <v>37.771</v>
      </c>
      <c r="Q34" s="456">
        <f t="shared" si="7"/>
        <v>401.244</v>
      </c>
      <c r="R34" s="454"/>
      <c r="S34" s="454">
        <f t="shared" si="8"/>
        <v>401.244</v>
      </c>
      <c r="T34" s="456"/>
    </row>
    <row r="35" spans="1:20" ht="12.75">
      <c r="A35" s="713" t="s">
        <v>538</v>
      </c>
      <c r="B35" s="713"/>
      <c r="C35" s="713"/>
      <c r="D35" s="713"/>
      <c r="E35" s="454">
        <f>+(-36)+116.8+14.016+172.073+20.458</f>
        <v>287.347</v>
      </c>
      <c r="F35" s="456"/>
      <c r="G35" s="454">
        <v>0</v>
      </c>
      <c r="H35" s="454">
        <f>18.389+110.066+1.034</f>
        <v>129.489</v>
      </c>
      <c r="I35" s="454">
        <v>0</v>
      </c>
      <c r="J35" s="454">
        <v>0</v>
      </c>
      <c r="K35" s="454">
        <f t="shared" si="6"/>
        <v>129.489</v>
      </c>
      <c r="L35" s="456"/>
      <c r="M35" s="454">
        <v>0</v>
      </c>
      <c r="N35" s="456"/>
      <c r="O35" s="454">
        <f>144.997+4295.4+625.17+32.535+76.772+871.002+85.194+147.192+O62</f>
        <v>6493.302000000001</v>
      </c>
      <c r="P35" s="454">
        <v>737.665</v>
      </c>
      <c r="Q35" s="456">
        <f t="shared" si="7"/>
        <v>7230.967000000001</v>
      </c>
      <c r="R35" s="454"/>
      <c r="S35" s="454">
        <f t="shared" si="8"/>
        <v>7647.803</v>
      </c>
      <c r="T35" s="456"/>
    </row>
    <row r="36" spans="1:20" ht="12.75">
      <c r="A36" s="713" t="s">
        <v>539</v>
      </c>
      <c r="B36" s="713"/>
      <c r="C36" s="713"/>
      <c r="D36" s="713"/>
      <c r="E36" s="454">
        <v>72</v>
      </c>
      <c r="F36" s="456"/>
      <c r="G36" s="454">
        <v>0</v>
      </c>
      <c r="H36" s="454">
        <v>0</v>
      </c>
      <c r="I36" s="454">
        <v>0</v>
      </c>
      <c r="J36" s="454">
        <v>0</v>
      </c>
      <c r="K36" s="454">
        <f t="shared" si="6"/>
        <v>0</v>
      </c>
      <c r="L36" s="456"/>
      <c r="M36" s="454">
        <v>0</v>
      </c>
      <c r="N36" s="456"/>
      <c r="O36" s="454">
        <v>60</v>
      </c>
      <c r="P36" s="454">
        <v>0</v>
      </c>
      <c r="Q36" s="456">
        <f t="shared" si="7"/>
        <v>60</v>
      </c>
      <c r="R36" s="454"/>
      <c r="S36" s="454">
        <f t="shared" si="8"/>
        <v>132</v>
      </c>
      <c r="T36" s="456"/>
    </row>
    <row r="37" spans="1:20" ht="12.75">
      <c r="A37" s="713" t="s">
        <v>540</v>
      </c>
      <c r="B37" s="713"/>
      <c r="C37" s="713"/>
      <c r="D37" s="713"/>
      <c r="E37" s="454">
        <v>0</v>
      </c>
      <c r="F37" s="456"/>
      <c r="G37" s="454">
        <v>0</v>
      </c>
      <c r="H37" s="454">
        <v>0</v>
      </c>
      <c r="I37" s="454">
        <v>0</v>
      </c>
      <c r="J37" s="454">
        <v>0</v>
      </c>
      <c r="K37" s="454">
        <f t="shared" si="6"/>
        <v>0</v>
      </c>
      <c r="L37" s="456"/>
      <c r="M37" s="454">
        <v>0</v>
      </c>
      <c r="N37" s="456"/>
      <c r="O37" s="454">
        <v>0</v>
      </c>
      <c r="P37" s="454">
        <v>0</v>
      </c>
      <c r="Q37" s="456">
        <f t="shared" si="7"/>
        <v>0</v>
      </c>
      <c r="R37" s="454"/>
      <c r="S37" s="454">
        <f t="shared" si="8"/>
        <v>0</v>
      </c>
      <c r="T37" s="456"/>
    </row>
    <row r="38" spans="1:20" ht="12.75">
      <c r="A38" s="713"/>
      <c r="B38" s="713"/>
      <c r="C38" s="713"/>
      <c r="D38" s="713"/>
      <c r="E38" s="461">
        <f>SUM(E32:E37)+E31</f>
        <v>725.0759999999999</v>
      </c>
      <c r="F38" s="456"/>
      <c r="G38" s="461">
        <f>SUM(G32:G37)+G31</f>
        <v>122.743</v>
      </c>
      <c r="H38" s="461">
        <f>SUM(H32:H37)+H31</f>
        <v>261.8459999999999</v>
      </c>
      <c r="I38" s="461">
        <f>SUM(I32:I37)+I31</f>
        <v>4.545</v>
      </c>
      <c r="J38" s="461">
        <f>SUM(J32:J37)+J31</f>
        <v>75.34200000000001</v>
      </c>
      <c r="K38" s="461">
        <f>SUM(K32:K37)+K31</f>
        <v>464.476</v>
      </c>
      <c r="L38" s="456"/>
      <c r="M38" s="461">
        <f>SUM(M32:M37)+M31</f>
        <v>8.614999999999998</v>
      </c>
      <c r="N38" s="456"/>
      <c r="O38" s="461">
        <f>SUM(O31:O37)</f>
        <v>10723.204000000002</v>
      </c>
      <c r="P38" s="461">
        <f>SUM(P31:P37)</f>
        <v>1621.444</v>
      </c>
      <c r="Q38" s="461">
        <f>SUM(Q31:Q37)</f>
        <v>12344.648000000001</v>
      </c>
      <c r="R38" s="454"/>
      <c r="S38" s="461">
        <f>SUM(S31:S37)</f>
        <v>13542.815000000002</v>
      </c>
      <c r="T38" s="456"/>
    </row>
    <row r="39" spans="1:20" ht="12.75">
      <c r="A39" s="713"/>
      <c r="B39" s="713"/>
      <c r="C39" s="713"/>
      <c r="D39" s="713"/>
      <c r="E39" s="454"/>
      <c r="F39" s="456"/>
      <c r="G39" s="454"/>
      <c r="H39" s="454"/>
      <c r="I39" s="454"/>
      <c r="J39" s="454"/>
      <c r="K39" s="454"/>
      <c r="L39" s="456"/>
      <c r="M39" s="454"/>
      <c r="N39" s="456"/>
      <c r="O39" s="454"/>
      <c r="P39" s="454"/>
      <c r="Q39" s="454"/>
      <c r="R39" s="454"/>
      <c r="S39" s="454"/>
      <c r="T39" s="456"/>
    </row>
    <row r="40" spans="1:20" ht="12.75">
      <c r="A40" s="713" t="s">
        <v>541</v>
      </c>
      <c r="B40" s="713"/>
      <c r="C40" s="713"/>
      <c r="D40" s="713"/>
      <c r="E40" s="454">
        <f>+E11+E29-E38</f>
        <v>2621.7459999999996</v>
      </c>
      <c r="F40" s="456"/>
      <c r="G40" s="454">
        <f aca="true" t="shared" si="9" ref="G40:Q40">+G11+G29-G38</f>
        <v>-44.06599999999999</v>
      </c>
      <c r="H40" s="454">
        <f t="shared" si="9"/>
        <v>905.8200000000003</v>
      </c>
      <c r="I40" s="454">
        <f t="shared" si="9"/>
        <v>14.153999999999998</v>
      </c>
      <c r="J40" s="454">
        <f t="shared" si="9"/>
        <v>40.519999999999996</v>
      </c>
      <c r="K40" s="454">
        <f t="shared" si="9"/>
        <v>916.4280000000002</v>
      </c>
      <c r="L40" s="456"/>
      <c r="M40" s="454">
        <f t="shared" si="9"/>
        <v>-401.091</v>
      </c>
      <c r="N40" s="456"/>
      <c r="O40" s="454">
        <f t="shared" si="9"/>
        <v>23176.37</v>
      </c>
      <c r="P40" s="454">
        <f t="shared" si="9"/>
        <v>2357.6290000000067</v>
      </c>
      <c r="Q40" s="454">
        <f t="shared" si="9"/>
        <v>25533.99899999999</v>
      </c>
      <c r="R40" s="454"/>
      <c r="S40" s="454">
        <f>+S11+S29-S38</f>
        <v>28671.081999999988</v>
      </c>
      <c r="T40" s="456"/>
    </row>
    <row r="41" spans="1:20" ht="12.75">
      <c r="A41" s="713" t="s">
        <v>542</v>
      </c>
      <c r="B41" s="713" t="s">
        <v>543</v>
      </c>
      <c r="C41" s="713"/>
      <c r="D41" s="713"/>
      <c r="E41" s="454">
        <f>1.812+129.59+10</f>
        <v>141.40200000000002</v>
      </c>
      <c r="F41" s="456"/>
      <c r="G41" s="454">
        <v>0</v>
      </c>
      <c r="H41" s="454">
        <v>0</v>
      </c>
      <c r="I41" s="454">
        <v>0</v>
      </c>
      <c r="J41" s="454">
        <v>0</v>
      </c>
      <c r="K41" s="454">
        <f>SUM(G41:J41)</f>
        <v>0</v>
      </c>
      <c r="L41" s="456"/>
      <c r="M41" s="454">
        <v>0</v>
      </c>
      <c r="N41" s="456"/>
      <c r="O41" s="454">
        <v>74.577</v>
      </c>
      <c r="P41" s="454"/>
      <c r="Q41" s="456">
        <f>SUM(O41:P41)</f>
        <v>74.577</v>
      </c>
      <c r="R41" s="454"/>
      <c r="S41" s="454">
        <f>+Q41+K41+E41+M41</f>
        <v>215.979</v>
      </c>
      <c r="T41" s="456"/>
    </row>
    <row r="42" spans="2:20" ht="12.75">
      <c r="B42" s="713" t="s">
        <v>1212</v>
      </c>
      <c r="C42" s="713"/>
      <c r="D42" s="713"/>
      <c r="E42" s="454">
        <v>525.448</v>
      </c>
      <c r="F42" s="456"/>
      <c r="G42" s="454">
        <v>0</v>
      </c>
      <c r="H42" s="454">
        <v>236.422</v>
      </c>
      <c r="I42" s="454">
        <v>0</v>
      </c>
      <c r="J42" s="454">
        <v>0</v>
      </c>
      <c r="K42" s="454">
        <f>SUM(G42:J42)</f>
        <v>236.422</v>
      </c>
      <c r="L42" s="456"/>
      <c r="M42" s="454">
        <v>0</v>
      </c>
      <c r="N42" s="456"/>
      <c r="O42" s="454">
        <v>0</v>
      </c>
      <c r="P42" s="454">
        <v>0</v>
      </c>
      <c r="Q42" s="456">
        <f>SUM(O42:P42)</f>
        <v>0</v>
      </c>
      <c r="R42" s="454"/>
      <c r="S42" s="454">
        <f>+Q42+K42+E42+M42</f>
        <v>761.87</v>
      </c>
      <c r="T42" s="456"/>
    </row>
    <row r="43" spans="2:20" ht="12.75">
      <c r="B43" s="713" t="s">
        <v>1177</v>
      </c>
      <c r="C43" s="713"/>
      <c r="D43" s="713"/>
      <c r="E43" s="454">
        <v>146.165</v>
      </c>
      <c r="F43" s="456"/>
      <c r="G43" s="454">
        <v>0</v>
      </c>
      <c r="H43" s="454">
        <v>0</v>
      </c>
      <c r="I43" s="454">
        <v>0</v>
      </c>
      <c r="J43" s="454">
        <v>0</v>
      </c>
      <c r="K43" s="454">
        <f>SUM(G43:J43)</f>
        <v>0</v>
      </c>
      <c r="L43" s="456"/>
      <c r="M43" s="454">
        <v>0</v>
      </c>
      <c r="N43" s="456"/>
      <c r="O43" s="454">
        <v>0</v>
      </c>
      <c r="P43" s="454">
        <v>0</v>
      </c>
      <c r="Q43" s="456">
        <f>SUM(O43:P43)</f>
        <v>0</v>
      </c>
      <c r="R43" s="454"/>
      <c r="S43" s="454">
        <f>+Q43+K43+E43+M43</f>
        <v>146.165</v>
      </c>
      <c r="T43" s="456"/>
    </row>
    <row r="44" spans="1:20" ht="12.75">
      <c r="A44" s="713"/>
      <c r="B44" s="713"/>
      <c r="C44" s="713"/>
      <c r="D44" s="713"/>
      <c r="E44" s="726">
        <f>+E40-E41-E42-E43</f>
        <v>1808.7309999999998</v>
      </c>
      <c r="F44" s="456"/>
      <c r="G44" s="726">
        <f aca="true" t="shared" si="10" ref="G44:Q44">+G40-G41-G42-G43</f>
        <v>-44.06599999999999</v>
      </c>
      <c r="H44" s="726">
        <f t="shared" si="10"/>
        <v>669.3980000000003</v>
      </c>
      <c r="I44" s="726">
        <f t="shared" si="10"/>
        <v>14.153999999999998</v>
      </c>
      <c r="J44" s="726">
        <f>+J40-J41-J42-J43</f>
        <v>40.519999999999996</v>
      </c>
      <c r="K44" s="726">
        <f t="shared" si="10"/>
        <v>680.0060000000002</v>
      </c>
      <c r="L44" s="456"/>
      <c r="M44" s="726">
        <f t="shared" si="10"/>
        <v>-401.091</v>
      </c>
      <c r="N44" s="456"/>
      <c r="O44" s="726">
        <f t="shared" si="10"/>
        <v>23101.792999999998</v>
      </c>
      <c r="P44" s="726">
        <f t="shared" si="10"/>
        <v>2357.6290000000067</v>
      </c>
      <c r="Q44" s="726">
        <f t="shared" si="10"/>
        <v>25459.421999999988</v>
      </c>
      <c r="R44" s="454"/>
      <c r="S44" s="726">
        <f>+S40-S41-S42-S43</f>
        <v>27547.06799999999</v>
      </c>
      <c r="T44" s="456"/>
    </row>
    <row r="45" spans="1:20" ht="12.75">
      <c r="A45" s="713" t="s">
        <v>542</v>
      </c>
      <c r="B45" s="713" t="s">
        <v>186</v>
      </c>
      <c r="C45" s="713"/>
      <c r="D45" s="713"/>
      <c r="E45" s="454">
        <v>0</v>
      </c>
      <c r="F45" s="456"/>
      <c r="G45" s="454">
        <v>0</v>
      </c>
      <c r="H45" s="454">
        <v>0</v>
      </c>
      <c r="I45" s="454">
        <v>0</v>
      </c>
      <c r="J45" s="454">
        <v>0</v>
      </c>
      <c r="K45" s="454">
        <f>SUM(G45:J45)</f>
        <v>0</v>
      </c>
      <c r="L45" s="456"/>
      <c r="M45" s="454">
        <v>0</v>
      </c>
      <c r="N45" s="456"/>
      <c r="O45" s="454">
        <v>0</v>
      </c>
      <c r="P45" s="454">
        <v>0</v>
      </c>
      <c r="Q45" s="456">
        <f>SUM(O45:P45)</f>
        <v>0</v>
      </c>
      <c r="R45" s="454"/>
      <c r="S45" s="454">
        <f>+Q45+K45+E45+M45</f>
        <v>0</v>
      </c>
      <c r="T45" s="456"/>
    </row>
    <row r="46" spans="2:20" ht="12.75">
      <c r="B46" s="713" t="s">
        <v>40</v>
      </c>
      <c r="C46" s="713"/>
      <c r="D46" s="713"/>
      <c r="E46" s="454">
        <v>0</v>
      </c>
      <c r="F46" s="456"/>
      <c r="G46" s="454">
        <v>0</v>
      </c>
      <c r="H46" s="454">
        <v>0</v>
      </c>
      <c r="I46" s="454">
        <v>0</v>
      </c>
      <c r="J46" s="454">
        <v>0</v>
      </c>
      <c r="K46" s="454">
        <f>SUM(G46:J46)</f>
        <v>0</v>
      </c>
      <c r="L46" s="456"/>
      <c r="M46" s="454">
        <v>0</v>
      </c>
      <c r="N46" s="456"/>
      <c r="O46" s="454">
        <v>2000.695</v>
      </c>
      <c r="P46" s="454">
        <v>0</v>
      </c>
      <c r="Q46" s="456">
        <f>SUM(O46:P46)</f>
        <v>2000.695</v>
      </c>
      <c r="R46" s="454"/>
      <c r="S46" s="454">
        <f>+Q46+K46+E46+M46</f>
        <v>2000.695</v>
      </c>
      <c r="T46" s="456"/>
    </row>
    <row r="47" spans="1:20" ht="12.75">
      <c r="A47" s="713"/>
      <c r="B47" s="713" t="s">
        <v>544</v>
      </c>
      <c r="C47" s="713"/>
      <c r="D47" s="713"/>
      <c r="E47" s="454">
        <v>416</v>
      </c>
      <c r="F47" s="456"/>
      <c r="G47" s="454">
        <v>0</v>
      </c>
      <c r="H47" s="454">
        <v>0</v>
      </c>
      <c r="I47" s="454">
        <v>0</v>
      </c>
      <c r="J47" s="454">
        <v>0</v>
      </c>
      <c r="K47" s="454">
        <f>SUM(G47:J47)</f>
        <v>0</v>
      </c>
      <c r="L47" s="456"/>
      <c r="M47" s="454">
        <v>0</v>
      </c>
      <c r="N47" s="456"/>
      <c r="O47" s="454">
        <v>0</v>
      </c>
      <c r="P47" s="454">
        <v>0</v>
      </c>
      <c r="Q47" s="456">
        <f>SUM(O47:P47)</f>
        <v>0</v>
      </c>
      <c r="R47" s="454"/>
      <c r="S47" s="454">
        <f>+Q47+K47+E47+M47</f>
        <v>416</v>
      </c>
      <c r="T47" s="456"/>
    </row>
    <row r="48" spans="1:20" ht="12.75">
      <c r="A48" s="713"/>
      <c r="B48" s="713"/>
      <c r="C48" s="713"/>
      <c r="D48" s="713"/>
      <c r="E48" s="464">
        <f>+E44-E45-E46-E47</f>
        <v>1392.7309999999998</v>
      </c>
      <c r="F48" s="456"/>
      <c r="G48" s="464">
        <f aca="true" t="shared" si="11" ref="G48:Q48">+G44-G45-G46-G47</f>
        <v>-44.06599999999999</v>
      </c>
      <c r="H48" s="464">
        <f>+H44-H45-H46-H47</f>
        <v>669.3980000000003</v>
      </c>
      <c r="I48" s="464">
        <f t="shared" si="11"/>
        <v>14.153999999999998</v>
      </c>
      <c r="J48" s="464">
        <f t="shared" si="11"/>
        <v>40.519999999999996</v>
      </c>
      <c r="K48" s="464">
        <f t="shared" si="11"/>
        <v>680.0060000000002</v>
      </c>
      <c r="L48" s="456"/>
      <c r="M48" s="464">
        <f t="shared" si="11"/>
        <v>-401.091</v>
      </c>
      <c r="N48" s="456"/>
      <c r="O48" s="464">
        <f t="shared" si="11"/>
        <v>21101.097999999998</v>
      </c>
      <c r="P48" s="464">
        <f t="shared" si="11"/>
        <v>2357.6290000000067</v>
      </c>
      <c r="Q48" s="464">
        <f t="shared" si="11"/>
        <v>23458.726999999988</v>
      </c>
      <c r="R48" s="454"/>
      <c r="S48" s="464">
        <f>+S44-S45-S46-S47</f>
        <v>25130.37299999999</v>
      </c>
      <c r="T48" s="456"/>
    </row>
    <row r="49" spans="1:20" ht="12.75">
      <c r="A49" s="713" t="s">
        <v>542</v>
      </c>
      <c r="B49" s="713" t="s">
        <v>1478</v>
      </c>
      <c r="C49" s="713"/>
      <c r="D49" s="713"/>
      <c r="E49" s="454">
        <v>42</v>
      </c>
      <c r="F49" s="456"/>
      <c r="G49" s="454">
        <v>11.523</v>
      </c>
      <c r="H49" s="454">
        <v>210.051</v>
      </c>
      <c r="I49" s="454">
        <v>0.781</v>
      </c>
      <c r="J49" s="454">
        <v>28.159</v>
      </c>
      <c r="K49" s="454">
        <f>SUM(G49:J49)</f>
        <v>250.51399999999998</v>
      </c>
      <c r="L49" s="456"/>
      <c r="M49" s="454">
        <f>1.664+23.928</f>
        <v>25.592000000000002</v>
      </c>
      <c r="N49" s="456"/>
      <c r="O49" s="454">
        <f>10442.714+938.753-10442.714</f>
        <v>938.7530000000006</v>
      </c>
      <c r="P49" s="454">
        <f>1725.488+102.445-1725.488</f>
        <v>102.44499999999994</v>
      </c>
      <c r="Q49" s="456">
        <f>SUM(O49:P49)</f>
        <v>1041.1980000000005</v>
      </c>
      <c r="R49" s="454"/>
      <c r="S49" s="454">
        <f>+Q49+K49+E49+M49</f>
        <v>1359.3040000000005</v>
      </c>
      <c r="T49" s="456"/>
    </row>
    <row r="50" spans="1:20" ht="12.75">
      <c r="A50" s="713" t="s">
        <v>546</v>
      </c>
      <c r="B50" s="713"/>
      <c r="C50" s="713"/>
      <c r="D50" s="713"/>
      <c r="E50" s="464">
        <f>+E48-E49</f>
        <v>1350.7309999999998</v>
      </c>
      <c r="F50" s="456"/>
      <c r="G50" s="464">
        <f aca="true" t="shared" si="12" ref="G50:Q50">+G48-G49</f>
        <v>-55.588999999999984</v>
      </c>
      <c r="H50" s="464">
        <f>+H48-H49</f>
        <v>459.34700000000026</v>
      </c>
      <c r="I50" s="464">
        <f t="shared" si="12"/>
        <v>13.372999999999998</v>
      </c>
      <c r="J50" s="464">
        <f t="shared" si="12"/>
        <v>12.360999999999997</v>
      </c>
      <c r="K50" s="464">
        <f t="shared" si="12"/>
        <v>429.4920000000002</v>
      </c>
      <c r="L50" s="456"/>
      <c r="M50" s="464">
        <f t="shared" si="12"/>
        <v>-426.683</v>
      </c>
      <c r="N50" s="464"/>
      <c r="O50" s="464">
        <f t="shared" si="12"/>
        <v>20162.344999999998</v>
      </c>
      <c r="P50" s="464">
        <f t="shared" si="12"/>
        <v>2255.1840000000066</v>
      </c>
      <c r="Q50" s="464">
        <f t="shared" si="12"/>
        <v>22417.528999999988</v>
      </c>
      <c r="R50" s="454"/>
      <c r="S50" s="464">
        <f>+S48-S49</f>
        <v>23771.06899999999</v>
      </c>
      <c r="T50" s="456"/>
    </row>
    <row r="51" spans="1:20" ht="12.75">
      <c r="A51" s="713" t="s">
        <v>542</v>
      </c>
      <c r="B51" s="713" t="s">
        <v>551</v>
      </c>
      <c r="C51" s="713"/>
      <c r="D51" s="713"/>
      <c r="E51" s="454">
        <f>-(251.753+33.6)</f>
        <v>-285.353</v>
      </c>
      <c r="F51" s="456"/>
      <c r="G51" s="454">
        <v>0</v>
      </c>
      <c r="H51" s="454">
        <v>0</v>
      </c>
      <c r="I51" s="454">
        <v>0</v>
      </c>
      <c r="J51" s="454">
        <v>0</v>
      </c>
      <c r="K51" s="454">
        <f>SUM(G51:J51)</f>
        <v>0</v>
      </c>
      <c r="L51" s="456"/>
      <c r="M51" s="456">
        <v>-0.778</v>
      </c>
      <c r="N51" s="456"/>
      <c r="O51" s="456">
        <f>456.873-3168000/1000</f>
        <v>-2711.127</v>
      </c>
      <c r="P51" s="456">
        <f>20.52-231000/1000-41000/1000</f>
        <v>-251.48</v>
      </c>
      <c r="Q51" s="456">
        <f>SUM(O51:P51)</f>
        <v>-2962.607</v>
      </c>
      <c r="R51" s="454"/>
      <c r="S51" s="454">
        <f>+Q51+K51+E51+M51</f>
        <v>-3248.738</v>
      </c>
      <c r="T51" s="456"/>
    </row>
    <row r="52" spans="1:20" ht="13.5" thickBot="1">
      <c r="A52" s="713" t="s">
        <v>95</v>
      </c>
      <c r="B52" s="713"/>
      <c r="C52" s="713"/>
      <c r="D52" s="713"/>
      <c r="E52" s="727">
        <f>SUM(E50:E51)</f>
        <v>1065.3779999999997</v>
      </c>
      <c r="F52" s="456"/>
      <c r="G52" s="727">
        <f>SUM(G50:G51)</f>
        <v>-55.588999999999984</v>
      </c>
      <c r="H52" s="727">
        <f>SUM(H50:H51)</f>
        <v>459.34700000000026</v>
      </c>
      <c r="I52" s="727">
        <f>SUM(I50:I51)</f>
        <v>13.372999999999998</v>
      </c>
      <c r="J52" s="727">
        <f>SUM(J50:J51)</f>
        <v>12.360999999999997</v>
      </c>
      <c r="K52" s="727">
        <f>SUM(K50:K51)</f>
        <v>429.4920000000002</v>
      </c>
      <c r="L52" s="456"/>
      <c r="M52" s="727">
        <f aca="true" t="shared" si="13" ref="M52:S52">SUM(M50:M51)</f>
        <v>-427.461</v>
      </c>
      <c r="N52" s="727">
        <f t="shared" si="13"/>
        <v>0</v>
      </c>
      <c r="O52" s="727">
        <f>SUM(O50:O51)</f>
        <v>17451.217999999997</v>
      </c>
      <c r="P52" s="727">
        <f>SUM(P50:P51)</f>
        <v>2003.7040000000065</v>
      </c>
      <c r="Q52" s="727">
        <f>SUM(Q50:Q51)</f>
        <v>19454.921999999988</v>
      </c>
      <c r="R52" s="454"/>
      <c r="S52" s="727">
        <f t="shared" si="13"/>
        <v>20522.330999999987</v>
      </c>
      <c r="T52" s="456"/>
    </row>
    <row r="53" spans="1:24" ht="13.5" thickTop="1">
      <c r="A53" s="713"/>
      <c r="B53" s="713"/>
      <c r="C53" s="713"/>
      <c r="D53" s="713"/>
      <c r="E53" s="723"/>
      <c r="F53" s="722"/>
      <c r="J53" s="723"/>
      <c r="K53" s="723"/>
      <c r="L53" s="722"/>
      <c r="M53" s="723"/>
      <c r="N53" s="722"/>
      <c r="O53" s="723"/>
      <c r="P53" s="723"/>
      <c r="Q53" s="723"/>
      <c r="R53" s="722"/>
      <c r="S53" s="723"/>
      <c r="T53" s="722"/>
      <c r="U53" s="722"/>
      <c r="V53" s="714"/>
      <c r="W53" s="420"/>
      <c r="X53" s="420"/>
    </row>
    <row r="54" spans="5:17" ht="12.75">
      <c r="E54" s="368">
        <v>654.978</v>
      </c>
      <c r="G54" s="728"/>
      <c r="H54" s="728"/>
      <c r="O54" s="447">
        <f>17451229/1000</f>
        <v>17451.229</v>
      </c>
      <c r="P54" s="447">
        <f>2275705/1000-272000/1000</f>
        <v>2003.705</v>
      </c>
      <c r="Q54" s="447"/>
    </row>
    <row r="55" spans="5:19" ht="12.75">
      <c r="E55" s="658"/>
      <c r="G55" s="658"/>
      <c r="H55" s="658"/>
      <c r="I55" s="658"/>
      <c r="J55" s="658"/>
      <c r="M55" s="658"/>
      <c r="O55" s="843"/>
      <c r="P55" s="843"/>
      <c r="Q55" s="843"/>
      <c r="S55" s="658"/>
    </row>
    <row r="56" spans="1:17" ht="12.75">
      <c r="A56" s="368" t="s">
        <v>173</v>
      </c>
      <c r="M56" s="447"/>
      <c r="N56" s="448"/>
      <c r="O56" s="447">
        <f>17451220/1000</f>
        <v>17451.22</v>
      </c>
      <c r="P56" s="447">
        <v>2003.705</v>
      </c>
      <c r="Q56" s="447"/>
    </row>
    <row r="57" spans="1:17" ht="12.75">
      <c r="A57" s="368" t="s">
        <v>174</v>
      </c>
      <c r="M57" s="447"/>
      <c r="N57" s="448"/>
      <c r="O57" s="447">
        <v>0</v>
      </c>
      <c r="P57" s="447">
        <v>0</v>
      </c>
      <c r="Q57" s="447"/>
    </row>
    <row r="58" spans="1:17" ht="12.75">
      <c r="A58" s="1064" t="s">
        <v>175</v>
      </c>
      <c r="E58" s="375"/>
      <c r="M58" s="447"/>
      <c r="N58" s="448"/>
      <c r="O58" s="447"/>
      <c r="P58" s="447">
        <v>0</v>
      </c>
      <c r="Q58" s="447"/>
    </row>
    <row r="59" spans="1:17" ht="13.5" thickBot="1">
      <c r="A59" s="368" t="s">
        <v>176</v>
      </c>
      <c r="M59" s="447"/>
      <c r="N59" s="448"/>
      <c r="O59" s="988">
        <f>SUM(O56:O58)</f>
        <v>17451.22</v>
      </c>
      <c r="P59" s="988">
        <f>SUM(P56:P58)</f>
        <v>2003.705</v>
      </c>
      <c r="Q59" s="447"/>
    </row>
    <row r="60" spans="13:17" ht="13.5" thickTop="1">
      <c r="M60" s="447"/>
      <c r="N60" s="448"/>
      <c r="O60" s="447"/>
      <c r="P60" s="447"/>
      <c r="Q60" s="447"/>
    </row>
    <row r="61" spans="10:17" ht="12.75">
      <c r="J61" s="1082" t="s">
        <v>449</v>
      </c>
      <c r="M61" s="447"/>
      <c r="N61" s="448"/>
      <c r="O61" s="447"/>
      <c r="P61" s="447"/>
      <c r="Q61" s="447"/>
    </row>
    <row r="62" spans="10:15" ht="12.75">
      <c r="J62" s="368" t="s">
        <v>450</v>
      </c>
      <c r="O62" s="375">
        <f>215040/1000</f>
        <v>215.04</v>
      </c>
    </row>
    <row r="63" spans="10:15" ht="12.75">
      <c r="J63" s="368" t="s">
        <v>455</v>
      </c>
      <c r="O63" s="375">
        <f>-O62</f>
        <v>-215.04</v>
      </c>
    </row>
    <row r="64" spans="10:15" ht="12.75">
      <c r="J64" s="368" t="s">
        <v>451</v>
      </c>
      <c r="O64" s="375">
        <f>444314/1000</f>
        <v>444.314</v>
      </c>
    </row>
    <row r="65" spans="10:15" ht="12.75">
      <c r="J65" s="368" t="s">
        <v>452</v>
      </c>
      <c r="O65" s="375">
        <f>-O64</f>
        <v>-444.314</v>
      </c>
    </row>
    <row r="66" spans="10:15" ht="12.75">
      <c r="J66" s="368" t="s">
        <v>453</v>
      </c>
      <c r="O66" s="375">
        <f>93257/1000</f>
        <v>93.257</v>
      </c>
    </row>
    <row r="67" spans="10:15" ht="12.75">
      <c r="J67" s="368" t="s">
        <v>454</v>
      </c>
      <c r="O67" s="375">
        <f>-O66</f>
        <v>-93.257</v>
      </c>
    </row>
    <row r="68" spans="10:15" ht="12.75">
      <c r="J68" s="368" t="s">
        <v>453</v>
      </c>
      <c r="O68" s="375">
        <f>1934917/1000</f>
        <v>1934.917</v>
      </c>
    </row>
    <row r="69" spans="10:15" ht="12.75">
      <c r="J69" s="368" t="s">
        <v>455</v>
      </c>
      <c r="O69" s="375">
        <f>-O68</f>
        <v>-1934.917</v>
      </c>
    </row>
    <row r="70" ht="12.75">
      <c r="O70" s="375">
        <f>SUM(O62:O69)</f>
        <v>0</v>
      </c>
    </row>
  </sheetData>
  <printOptions horizontalCentered="1" verticalCentered="1"/>
  <pageMargins left="0.5" right="0.5" top="0.5" bottom="0.5" header="0.5" footer="0.5"/>
  <pageSetup horizontalDpi="300" verticalDpi="300" orientation="landscape" paperSize="9" scale="59" r:id="rId1"/>
  <headerFooter alignWithMargins="0">
    <oddHeader>&amp;R&amp;D  &amp;T</oddHeader>
  </headerFooter>
</worksheet>
</file>

<file path=xl/worksheets/sheet16.xml><?xml version="1.0" encoding="utf-8"?>
<worksheet xmlns="http://schemas.openxmlformats.org/spreadsheetml/2006/main" xmlns:r="http://schemas.openxmlformats.org/officeDocument/2006/relationships">
  <sheetPr>
    <tabColor indexed="46"/>
  </sheetPr>
  <dimension ref="A1:AJ138"/>
  <sheetViews>
    <sheetView view="pageBreakPreview" zoomScaleSheetLayoutView="100" workbookViewId="0" topLeftCell="A1">
      <pane xSplit="1" ySplit="6" topLeftCell="R76" activePane="bottomRight" state="frozen"/>
      <selection pane="topLeft" activeCell="K76" sqref="K76"/>
      <selection pane="topRight" activeCell="K76" sqref="K76"/>
      <selection pane="bottomLeft" activeCell="K76" sqref="K76"/>
      <selection pane="bottomRight" activeCell="R94" sqref="R94"/>
    </sheetView>
  </sheetViews>
  <sheetFormatPr defaultColWidth="9.140625" defaultRowHeight="12.75"/>
  <cols>
    <col min="1" max="1" width="38.28125" style="541" customWidth="1"/>
    <col min="2" max="2" width="11.28125" style="362" bestFit="1" customWidth="1"/>
    <col min="3" max="3" width="12.28125" style="362" bestFit="1" customWidth="1"/>
    <col min="4" max="4" width="10.8515625" style="362" bestFit="1" customWidth="1"/>
    <col min="5" max="5" width="11.8515625" style="362" bestFit="1" customWidth="1"/>
    <col min="6" max="6" width="12.00390625" style="362" bestFit="1" customWidth="1"/>
    <col min="7" max="7" width="11.57421875" style="362" customWidth="1"/>
    <col min="8" max="8" width="11.00390625" style="362" bestFit="1" customWidth="1"/>
    <col min="9" max="9" width="10.8515625" style="362" bestFit="1" customWidth="1"/>
    <col min="10" max="10" width="10.57421875" style="362" customWidth="1"/>
    <col min="11" max="11" width="15.00390625" style="362" bestFit="1" customWidth="1"/>
    <col min="12" max="12" width="12.8515625" style="362" bestFit="1" customWidth="1"/>
    <col min="13" max="13" width="8.8515625" style="362" bestFit="1" customWidth="1"/>
    <col min="14" max="14" width="10.8515625" style="362" bestFit="1" customWidth="1"/>
    <col min="15" max="15" width="9.28125" style="362" bestFit="1" customWidth="1"/>
    <col min="16" max="16" width="12.28125" style="362" bestFit="1" customWidth="1"/>
    <col min="17" max="17" width="9.28125" style="362" bestFit="1" customWidth="1"/>
    <col min="18" max="18" width="12.57421875" style="362" customWidth="1"/>
    <col min="19" max="19" width="12.7109375" style="362" customWidth="1"/>
    <col min="20" max="20" width="12.57421875" style="362" customWidth="1"/>
    <col min="21" max="21" width="14.00390625" style="362" bestFit="1" customWidth="1"/>
    <col min="22" max="22" width="12.57421875" style="362" bestFit="1" customWidth="1"/>
    <col min="23" max="23" width="14.00390625" style="362" bestFit="1" customWidth="1"/>
    <col min="24" max="24" width="14.57421875" style="362" bestFit="1" customWidth="1"/>
    <col min="25" max="25" width="16.421875" style="366" bestFit="1" customWidth="1"/>
    <col min="26" max="26" width="17.00390625" style="366" customWidth="1"/>
    <col min="27" max="27" width="15.8515625" style="366" customWidth="1"/>
    <col min="28" max="28" width="14.8515625" style="362" customWidth="1"/>
    <col min="29" max="29" width="18.140625" style="362" customWidth="1"/>
    <col min="30" max="30" width="13.28125" style="362" customWidth="1"/>
    <col min="31" max="31" width="12.28125" style="362" customWidth="1"/>
    <col min="32" max="32" width="14.8515625" style="362" customWidth="1"/>
    <col min="33" max="33" width="12.140625" style="362" customWidth="1"/>
    <col min="34" max="34" width="11.57421875" style="362" customWidth="1"/>
    <col min="35" max="35" width="11.00390625" style="362" customWidth="1"/>
    <col min="36" max="36" width="11.140625" style="362" customWidth="1"/>
    <col min="37" max="16384" width="8.8515625" style="362" customWidth="1"/>
  </cols>
  <sheetData>
    <row r="1" spans="1:27" ht="12.75">
      <c r="A1" s="657" t="s">
        <v>289</v>
      </c>
      <c r="B1" s="357"/>
      <c r="C1" s="357"/>
      <c r="D1" s="357"/>
      <c r="E1" s="357"/>
      <c r="F1" s="357"/>
      <c r="G1" s="357"/>
      <c r="H1" s="357"/>
      <c r="I1" s="357"/>
      <c r="J1" s="357"/>
      <c r="K1" s="357"/>
      <c r="L1" s="357"/>
      <c r="M1" s="359"/>
      <c r="N1" s="359"/>
      <c r="O1" s="359"/>
      <c r="P1" s="359"/>
      <c r="Q1" s="359"/>
      <c r="R1" s="359"/>
      <c r="S1" s="359"/>
      <c r="T1" s="359"/>
      <c r="U1" s="359"/>
      <c r="V1" s="355"/>
      <c r="W1" s="358"/>
      <c r="X1" s="357"/>
      <c r="Y1" s="360"/>
      <c r="Z1" s="360"/>
      <c r="AA1" s="360"/>
    </row>
    <row r="2" spans="1:27" ht="12.75">
      <c r="A2" s="657" t="s">
        <v>1198</v>
      </c>
      <c r="B2" s="357"/>
      <c r="C2" s="357"/>
      <c r="D2" s="357"/>
      <c r="E2" s="357"/>
      <c r="F2" s="357"/>
      <c r="G2" s="357"/>
      <c r="H2" s="357"/>
      <c r="I2" s="357"/>
      <c r="J2" s="357"/>
      <c r="K2" s="357"/>
      <c r="L2" s="357"/>
      <c r="M2" s="359"/>
      <c r="N2" s="359"/>
      <c r="O2" s="359"/>
      <c r="P2" s="359"/>
      <c r="Q2" s="359"/>
      <c r="R2" s="359"/>
      <c r="S2" s="359"/>
      <c r="T2" s="735"/>
      <c r="U2" s="359"/>
      <c r="V2" s="356"/>
      <c r="W2" s="358"/>
      <c r="X2" s="357"/>
      <c r="Y2" s="360"/>
      <c r="Z2" s="360"/>
      <c r="AA2" s="360"/>
    </row>
    <row r="3" spans="1:27" ht="12.75">
      <c r="A3" s="657"/>
      <c r="B3" s="357"/>
      <c r="C3" s="357"/>
      <c r="D3" s="357"/>
      <c r="E3" s="357"/>
      <c r="F3" s="357"/>
      <c r="G3" s="357"/>
      <c r="H3" s="357"/>
      <c r="I3" s="357"/>
      <c r="J3" s="357"/>
      <c r="K3" s="357"/>
      <c r="L3" s="357"/>
      <c r="M3" s="359"/>
      <c r="N3" s="359"/>
      <c r="O3" s="359"/>
      <c r="P3" s="359"/>
      <c r="Q3" s="359"/>
      <c r="R3" s="359"/>
      <c r="S3" s="359"/>
      <c r="T3" s="735"/>
      <c r="U3" s="359"/>
      <c r="V3" s="356"/>
      <c r="W3" s="358"/>
      <c r="X3" s="357"/>
      <c r="Y3" s="360"/>
      <c r="Z3" s="360"/>
      <c r="AA3" s="360"/>
    </row>
    <row r="4" spans="1:27" ht="12.75">
      <c r="A4" s="436"/>
      <c r="B4" s="818"/>
      <c r="C4" s="923"/>
      <c r="D4" s="923"/>
      <c r="E4" s="923"/>
      <c r="F4" s="923"/>
      <c r="G4" s="923"/>
      <c r="H4" s="923"/>
      <c r="I4" s="923"/>
      <c r="J4" s="923"/>
      <c r="K4" s="923"/>
      <c r="L4" s="923"/>
      <c r="M4" s="930"/>
      <c r="N4" s="926"/>
      <c r="O4" s="926"/>
      <c r="P4" s="926"/>
      <c r="Q4" s="926"/>
      <c r="R4" s="819"/>
      <c r="S4" s="819"/>
      <c r="T4" s="926"/>
      <c r="U4" s="359"/>
      <c r="V4" s="356"/>
      <c r="W4" s="358"/>
      <c r="X4" s="357"/>
      <c r="Y4" s="360" t="s">
        <v>60</v>
      </c>
      <c r="Z4" s="360" t="s">
        <v>432</v>
      </c>
      <c r="AA4" s="364" t="s">
        <v>511</v>
      </c>
    </row>
    <row r="5" spans="1:35" s="366" customFormat="1" ht="12.75">
      <c r="A5" s="657"/>
      <c r="B5" s="364" t="s">
        <v>318</v>
      </c>
      <c r="C5" s="364" t="s">
        <v>866</v>
      </c>
      <c r="D5" s="364" t="s">
        <v>513</v>
      </c>
      <c r="E5" s="364" t="s">
        <v>321</v>
      </c>
      <c r="F5" s="364" t="s">
        <v>320</v>
      </c>
      <c r="G5" s="364" t="s">
        <v>555</v>
      </c>
      <c r="H5" s="364" t="s">
        <v>332</v>
      </c>
      <c r="I5" s="364" t="s">
        <v>517</v>
      </c>
      <c r="J5" s="364" t="s">
        <v>291</v>
      </c>
      <c r="K5" s="364" t="s">
        <v>518</v>
      </c>
      <c r="L5" s="364" t="s">
        <v>292</v>
      </c>
      <c r="M5" s="651" t="s">
        <v>1022</v>
      </c>
      <c r="N5" s="651" t="s">
        <v>336</v>
      </c>
      <c r="O5" s="651" t="s">
        <v>293</v>
      </c>
      <c r="P5" s="651" t="s">
        <v>558</v>
      </c>
      <c r="Q5" s="651" t="s">
        <v>519</v>
      </c>
      <c r="R5" s="651" t="s">
        <v>152</v>
      </c>
      <c r="S5" s="651" t="s">
        <v>294</v>
      </c>
      <c r="T5" s="651" t="s">
        <v>328</v>
      </c>
      <c r="U5" s="651" t="s">
        <v>329</v>
      </c>
      <c r="V5" s="446"/>
      <c r="W5" s="1130" t="s">
        <v>295</v>
      </c>
      <c r="X5" s="1131"/>
      <c r="Y5" s="364" t="s">
        <v>520</v>
      </c>
      <c r="Z5" s="364" t="s">
        <v>520</v>
      </c>
      <c r="AA5" s="364" t="s">
        <v>61</v>
      </c>
      <c r="AC5" s="729" t="s">
        <v>199</v>
      </c>
      <c r="AH5" s="730" t="s">
        <v>472</v>
      </c>
      <c r="AI5" s="730" t="s">
        <v>472</v>
      </c>
    </row>
    <row r="6" spans="1:36" s="366" customFormat="1" ht="12.75">
      <c r="A6" s="657"/>
      <c r="B6" s="364" t="s">
        <v>521</v>
      </c>
      <c r="C6" s="364" t="s">
        <v>521</v>
      </c>
      <c r="D6" s="364" t="s">
        <v>521</v>
      </c>
      <c r="E6" s="364" t="s">
        <v>521</v>
      </c>
      <c r="F6" s="364" t="s">
        <v>521</v>
      </c>
      <c r="G6" s="364" t="s">
        <v>521</v>
      </c>
      <c r="H6" s="364" t="s">
        <v>521</v>
      </c>
      <c r="I6" s="364" t="s">
        <v>521</v>
      </c>
      <c r="J6" s="364" t="s">
        <v>521</v>
      </c>
      <c r="K6" s="364" t="s">
        <v>521</v>
      </c>
      <c r="L6" s="364" t="s">
        <v>521</v>
      </c>
      <c r="M6" s="651" t="s">
        <v>521</v>
      </c>
      <c r="N6" s="651" t="s">
        <v>521</v>
      </c>
      <c r="O6" s="651" t="s">
        <v>521</v>
      </c>
      <c r="P6" s="651" t="s">
        <v>521</v>
      </c>
      <c r="Q6" s="651" t="s">
        <v>521</v>
      </c>
      <c r="R6" s="651" t="s">
        <v>521</v>
      </c>
      <c r="S6" s="651" t="s">
        <v>521</v>
      </c>
      <c r="T6" s="651" t="s">
        <v>521</v>
      </c>
      <c r="U6" s="651" t="s">
        <v>521</v>
      </c>
      <c r="V6" s="446"/>
      <c r="W6" s="652" t="s">
        <v>365</v>
      </c>
      <c r="X6" s="364" t="s">
        <v>366</v>
      </c>
      <c r="Y6" s="364"/>
      <c r="Z6" s="364"/>
      <c r="AA6" s="364"/>
      <c r="AE6" s="366" t="s">
        <v>200</v>
      </c>
      <c r="AF6" s="366" t="s">
        <v>201</v>
      </c>
      <c r="AG6" s="730" t="s">
        <v>202</v>
      </c>
      <c r="AH6" s="730" t="s">
        <v>473</v>
      </c>
      <c r="AI6" s="366" t="s">
        <v>474</v>
      </c>
      <c r="AJ6" s="730" t="s">
        <v>1033</v>
      </c>
    </row>
    <row r="7" spans="1:27" ht="12.75">
      <c r="A7" s="436"/>
      <c r="B7" s="357"/>
      <c r="C7" s="357"/>
      <c r="D7" s="357"/>
      <c r="E7" s="357"/>
      <c r="F7" s="357"/>
      <c r="G7" s="357"/>
      <c r="H7" s="357"/>
      <c r="I7" s="357"/>
      <c r="J7" s="357"/>
      <c r="K7" s="357"/>
      <c r="L7" s="357"/>
      <c r="M7" s="359"/>
      <c r="N7" s="359"/>
      <c r="O7" s="359"/>
      <c r="P7" s="359"/>
      <c r="Q7" s="359"/>
      <c r="R7" s="819" t="s">
        <v>1138</v>
      </c>
      <c r="S7" s="819" t="s">
        <v>1137</v>
      </c>
      <c r="T7" s="359"/>
      <c r="U7" s="359"/>
      <c r="V7" s="356"/>
      <c r="W7" s="358"/>
      <c r="X7" s="357"/>
      <c r="Y7" s="360"/>
      <c r="Z7" s="360"/>
      <c r="AA7" s="360"/>
    </row>
    <row r="8" spans="1:27" ht="12.75">
      <c r="A8" s="436"/>
      <c r="B8" s="357"/>
      <c r="C8" s="357"/>
      <c r="D8" s="357"/>
      <c r="E8" s="357"/>
      <c r="F8" s="357"/>
      <c r="G8" s="357"/>
      <c r="H8" s="357"/>
      <c r="I8" s="357"/>
      <c r="J8" s="357"/>
      <c r="K8" s="357"/>
      <c r="L8" s="357"/>
      <c r="M8" s="359"/>
      <c r="N8" s="359"/>
      <c r="O8" s="359"/>
      <c r="P8" s="359"/>
      <c r="Q8" s="359"/>
      <c r="R8" s="942">
        <v>0.7</v>
      </c>
      <c r="S8" s="941">
        <v>0.7</v>
      </c>
      <c r="T8" s="359"/>
      <c r="U8" s="359"/>
      <c r="V8" s="356"/>
      <c r="W8" s="358"/>
      <c r="X8" s="357"/>
      <c r="Y8" s="360"/>
      <c r="Z8" s="360"/>
      <c r="AA8" s="360"/>
    </row>
    <row r="9" spans="1:30" ht="12.75">
      <c r="A9" s="436" t="s">
        <v>522</v>
      </c>
      <c r="B9" s="357">
        <v>0</v>
      </c>
      <c r="C9" s="357">
        <f>+pl!G8</f>
        <v>0</v>
      </c>
      <c r="D9" s="357">
        <f>+pl!H8</f>
        <v>1056.506</v>
      </c>
      <c r="E9" s="357">
        <f>+pl!I8</f>
        <v>0</v>
      </c>
      <c r="F9" s="357">
        <f>pl!J8</f>
        <v>0</v>
      </c>
      <c r="G9" s="357">
        <v>0</v>
      </c>
      <c r="H9" s="357">
        <v>0</v>
      </c>
      <c r="I9" s="357">
        <f>+pl!M8</f>
        <v>816.608</v>
      </c>
      <c r="J9" s="357">
        <v>0</v>
      </c>
      <c r="K9" s="357">
        <f>+pl!O8</f>
        <v>199914.312</v>
      </c>
      <c r="L9" s="357">
        <f>+pl!P8</f>
        <v>44037.889</v>
      </c>
      <c r="M9" s="359">
        <v>0</v>
      </c>
      <c r="N9" s="359">
        <v>0</v>
      </c>
      <c r="O9" s="359">
        <v>0</v>
      </c>
      <c r="P9" s="359">
        <v>0</v>
      </c>
      <c r="Q9" s="359">
        <v>0</v>
      </c>
      <c r="R9" s="359">
        <v>1043.335</v>
      </c>
      <c r="S9" s="359">
        <v>122.675</v>
      </c>
      <c r="T9" s="359">
        <v>0</v>
      </c>
      <c r="U9" s="359">
        <f>SUM(B9:T9)</f>
        <v>246991.32499999998</v>
      </c>
      <c r="V9" s="356" t="str">
        <f>+je!A49</f>
        <v>CJE 6</v>
      </c>
      <c r="W9" s="358">
        <f>(je!O49)/1000</f>
        <v>31265.1623</v>
      </c>
      <c r="X9" s="357"/>
      <c r="Y9" s="360">
        <f>U9-W9-W10-X11</f>
        <v>215726.1627</v>
      </c>
      <c r="Z9" s="360">
        <v>166782.349</v>
      </c>
      <c r="AA9" s="360">
        <f aca="true" t="shared" si="0" ref="AA9:AA17">+Y9-Z9</f>
        <v>48943.8137</v>
      </c>
      <c r="AC9" s="362">
        <v>103730.52526</v>
      </c>
      <c r="AD9" s="362">
        <f>Y9-AC9</f>
        <v>111995.63743999999</v>
      </c>
    </row>
    <row r="10" spans="1:27" ht="12.75">
      <c r="A10" s="436"/>
      <c r="B10" s="357"/>
      <c r="C10" s="357"/>
      <c r="D10" s="357"/>
      <c r="E10" s="357"/>
      <c r="F10" s="357"/>
      <c r="G10" s="357"/>
      <c r="H10" s="357"/>
      <c r="I10" s="357"/>
      <c r="J10" s="357"/>
      <c r="K10" s="357"/>
      <c r="L10" s="357"/>
      <c r="M10" s="359"/>
      <c r="N10" s="359"/>
      <c r="O10" s="359"/>
      <c r="P10" s="359"/>
      <c r="Q10" s="359"/>
      <c r="R10" s="359"/>
      <c r="S10" s="359"/>
      <c r="T10" s="359"/>
      <c r="U10" s="359"/>
      <c r="V10" s="356"/>
      <c r="W10" s="358"/>
      <c r="X10" s="357"/>
      <c r="Y10" s="360"/>
      <c r="Z10" s="360"/>
      <c r="AA10" s="360"/>
    </row>
    <row r="11" spans="1:27" ht="12.75">
      <c r="A11" s="436"/>
      <c r="B11" s="357"/>
      <c r="C11" s="737"/>
      <c r="D11" s="357"/>
      <c r="E11" s="357"/>
      <c r="F11" s="357"/>
      <c r="G11" s="357"/>
      <c r="H11" s="357"/>
      <c r="I11" s="357"/>
      <c r="J11" s="357"/>
      <c r="K11" s="357"/>
      <c r="L11" s="357"/>
      <c r="M11" s="359"/>
      <c r="N11" s="359"/>
      <c r="O11" s="359"/>
      <c r="P11" s="359"/>
      <c r="Q11" s="359"/>
      <c r="R11" s="359"/>
      <c r="S11" s="359"/>
      <c r="T11" s="359"/>
      <c r="U11" s="359"/>
      <c r="V11" s="356"/>
      <c r="W11" s="358"/>
      <c r="X11" s="357">
        <f>+je!O107/1000</f>
        <v>0</v>
      </c>
      <c r="Y11" s="360"/>
      <c r="Z11" s="360"/>
      <c r="AA11" s="360"/>
    </row>
    <row r="12" spans="1:27" ht="12.75">
      <c r="A12" s="436" t="s">
        <v>523</v>
      </c>
      <c r="B12" s="357">
        <v>0</v>
      </c>
      <c r="C12" s="357">
        <f>+pl!G9</f>
        <v>0</v>
      </c>
      <c r="D12" s="357">
        <f>+pl!H9-D15</f>
        <v>-779.856</v>
      </c>
      <c r="E12" s="357">
        <f>+pl!I9</f>
        <v>0</v>
      </c>
      <c r="F12" s="357">
        <f>+pl!J9-F15</f>
        <v>0</v>
      </c>
      <c r="G12" s="357">
        <v>0</v>
      </c>
      <c r="H12" s="357">
        <v>0</v>
      </c>
      <c r="I12" s="357">
        <f>+pl!M9</f>
        <v>-1108.396</v>
      </c>
      <c r="J12" s="357">
        <v>0</v>
      </c>
      <c r="K12" s="357">
        <f>+pl!O9</f>
        <v>-152816.679</v>
      </c>
      <c r="L12" s="357">
        <f>+pl!P9</f>
        <v>-39574.534999999996</v>
      </c>
      <c r="M12" s="359">
        <v>0</v>
      </c>
      <c r="N12" s="359">
        <v>0</v>
      </c>
      <c r="O12" s="359">
        <v>0</v>
      </c>
      <c r="P12" s="359">
        <v>0</v>
      </c>
      <c r="Q12" s="359">
        <v>0</v>
      </c>
      <c r="R12" s="359">
        <v>-375.296</v>
      </c>
      <c r="S12" s="359">
        <v>-57.693</v>
      </c>
      <c r="T12" s="359">
        <v>0</v>
      </c>
      <c r="U12" s="359">
        <f>SUM(B12:T12)</f>
        <v>-194712.45500000002</v>
      </c>
      <c r="V12" s="356" t="str">
        <f>+je!A49</f>
        <v>CJE 6</v>
      </c>
      <c r="W12" s="358"/>
      <c r="X12" s="357">
        <f>(je!O50)/1000</f>
        <v>-31265.1623</v>
      </c>
      <c r="Y12" s="360"/>
      <c r="Z12" s="360"/>
      <c r="AA12" s="360">
        <f t="shared" si="0"/>
        <v>0</v>
      </c>
    </row>
    <row r="13" spans="1:30" ht="12.75">
      <c r="A13" s="436"/>
      <c r="B13" s="357"/>
      <c r="C13" s="357"/>
      <c r="D13" s="357"/>
      <c r="E13" s="357"/>
      <c r="F13" s="357"/>
      <c r="G13" s="357"/>
      <c r="H13" s="357"/>
      <c r="I13" s="357"/>
      <c r="J13" s="357"/>
      <c r="K13" s="357"/>
      <c r="L13" s="357"/>
      <c r="M13" s="359"/>
      <c r="N13" s="359"/>
      <c r="O13" s="359"/>
      <c r="P13" s="359"/>
      <c r="Q13" s="359"/>
      <c r="R13" s="359"/>
      <c r="S13" s="359"/>
      <c r="T13" s="359"/>
      <c r="U13" s="359"/>
      <c r="V13" s="356"/>
      <c r="W13" s="358"/>
      <c r="X13" s="357">
        <v>0</v>
      </c>
      <c r="Y13" s="360">
        <f>+U12-W13-X12-X13-X14</f>
        <v>-163447.29270000002</v>
      </c>
      <c r="Z13" s="360">
        <v>-128630.892</v>
      </c>
      <c r="AA13" s="360">
        <f t="shared" si="0"/>
        <v>-34816.40070000001</v>
      </c>
      <c r="AC13" s="362">
        <v>-70505.66806000001</v>
      </c>
      <c r="AD13" s="362">
        <f aca="true" t="shared" si="1" ref="AD13:AD25">Y13-AC13</f>
        <v>-92941.62464000001</v>
      </c>
    </row>
    <row r="14" spans="1:30" ht="12.75">
      <c r="A14" s="436" t="s">
        <v>524</v>
      </c>
      <c r="B14" s="357">
        <v>0</v>
      </c>
      <c r="C14" s="357">
        <f>+pl!G10</f>
        <v>0</v>
      </c>
      <c r="D14" s="357">
        <f>+pl!H10</f>
        <v>0</v>
      </c>
      <c r="E14" s="357">
        <f>+pl!I10</f>
        <v>0</v>
      </c>
      <c r="F14" s="357">
        <f>+pl!J10</f>
        <v>0</v>
      </c>
      <c r="G14" s="357">
        <v>0</v>
      </c>
      <c r="H14" s="357">
        <v>0</v>
      </c>
      <c r="I14" s="357">
        <f>+pl!M10</f>
        <v>-100.688</v>
      </c>
      <c r="J14" s="357">
        <v>0</v>
      </c>
      <c r="K14" s="357">
        <f>+pl!O10</f>
        <v>-15362.939</v>
      </c>
      <c r="L14" s="357">
        <f>+pl!P10</f>
        <v>-543.13</v>
      </c>
      <c r="M14" s="359">
        <v>0</v>
      </c>
      <c r="N14" s="359">
        <v>0</v>
      </c>
      <c r="O14" s="359">
        <v>0</v>
      </c>
      <c r="P14" s="359">
        <v>0</v>
      </c>
      <c r="Q14" s="359">
        <v>0</v>
      </c>
      <c r="R14" s="359">
        <v>0</v>
      </c>
      <c r="S14" s="359">
        <v>0</v>
      </c>
      <c r="T14" s="359">
        <v>0</v>
      </c>
      <c r="U14" s="359">
        <f>SUM(B14:T14)</f>
        <v>-16006.757</v>
      </c>
      <c r="V14" s="356"/>
      <c r="W14" s="358"/>
      <c r="X14" s="357"/>
      <c r="Y14" s="360">
        <f>U14</f>
        <v>-16006.757</v>
      </c>
      <c r="Z14" s="360">
        <v>-14011.245</v>
      </c>
      <c r="AA14" s="360">
        <f t="shared" si="0"/>
        <v>-1995.5119999999988</v>
      </c>
      <c r="AC14" s="362">
        <v>-9923.1757</v>
      </c>
      <c r="AD14" s="362">
        <f t="shared" si="1"/>
        <v>-6083.5813</v>
      </c>
    </row>
    <row r="15" spans="1:30" ht="12.75">
      <c r="A15" s="436" t="s">
        <v>1230</v>
      </c>
      <c r="B15" s="357">
        <v>0</v>
      </c>
      <c r="C15" s="357">
        <v>0</v>
      </c>
      <c r="D15" s="357">
        <v>0</v>
      </c>
      <c r="E15" s="357">
        <v>0</v>
      </c>
      <c r="F15" s="357">
        <v>0</v>
      </c>
      <c r="G15" s="357">
        <v>0</v>
      </c>
      <c r="H15" s="357">
        <v>0</v>
      </c>
      <c r="I15" s="357">
        <v>0</v>
      </c>
      <c r="J15" s="357">
        <v>0</v>
      </c>
      <c r="K15" s="357">
        <v>0</v>
      </c>
      <c r="L15" s="357">
        <v>0</v>
      </c>
      <c r="M15" s="359">
        <v>0</v>
      </c>
      <c r="N15" s="359">
        <v>0</v>
      </c>
      <c r="O15" s="359">
        <v>0</v>
      </c>
      <c r="P15" s="359">
        <v>0</v>
      </c>
      <c r="Q15" s="359">
        <v>0</v>
      </c>
      <c r="R15" s="359">
        <v>0</v>
      </c>
      <c r="S15" s="359">
        <v>0</v>
      </c>
      <c r="T15" s="359">
        <v>0</v>
      </c>
      <c r="U15" s="359">
        <f>SUM(B15:T15)</f>
        <v>0</v>
      </c>
      <c r="V15" s="356"/>
      <c r="W15" s="358"/>
      <c r="X15" s="357">
        <f>(je!O90+je!O94)/1000</f>
        <v>0</v>
      </c>
      <c r="Y15" s="360">
        <f>-X15</f>
        <v>0</v>
      </c>
      <c r="Z15" s="360">
        <v>0</v>
      </c>
      <c r="AA15" s="360">
        <f t="shared" si="0"/>
        <v>0</v>
      </c>
      <c r="AC15" s="362">
        <v>0</v>
      </c>
      <c r="AD15" s="362">
        <f t="shared" si="1"/>
        <v>0</v>
      </c>
    </row>
    <row r="16" spans="1:30" ht="12.75">
      <c r="A16" s="436"/>
      <c r="B16" s="357"/>
      <c r="C16" s="357"/>
      <c r="D16" s="357"/>
      <c r="E16" s="357"/>
      <c r="F16" s="357"/>
      <c r="G16" s="357"/>
      <c r="H16" s="357"/>
      <c r="I16" s="357"/>
      <c r="J16" s="357"/>
      <c r="K16" s="357"/>
      <c r="L16" s="357"/>
      <c r="M16" s="359"/>
      <c r="N16" s="359"/>
      <c r="O16" s="359"/>
      <c r="P16" s="359"/>
      <c r="Q16" s="359"/>
      <c r="R16" s="359"/>
      <c r="S16" s="359"/>
      <c r="T16" s="359"/>
      <c r="U16" s="359"/>
      <c r="V16" s="356"/>
      <c r="W16" s="358"/>
      <c r="X16" s="357"/>
      <c r="Y16" s="360"/>
      <c r="Z16" s="360"/>
      <c r="AA16" s="360">
        <f t="shared" si="0"/>
        <v>0</v>
      </c>
      <c r="AD16" s="362">
        <f t="shared" si="1"/>
        <v>0</v>
      </c>
    </row>
    <row r="17" spans="1:30" ht="12.75">
      <c r="A17" s="436" t="s">
        <v>525</v>
      </c>
      <c r="B17" s="357">
        <f>SUM(B9:B16)</f>
        <v>0</v>
      </c>
      <c r="C17" s="357">
        <f>SUM(C9:C16)</f>
        <v>0</v>
      </c>
      <c r="D17" s="357">
        <f aca="true" t="shared" si="2" ref="D17:M17">SUM(D9:D16)</f>
        <v>276.6500000000001</v>
      </c>
      <c r="E17" s="357">
        <f t="shared" si="2"/>
        <v>0</v>
      </c>
      <c r="F17" s="357">
        <f t="shared" si="2"/>
        <v>0</v>
      </c>
      <c r="G17" s="357">
        <f t="shared" si="2"/>
        <v>0</v>
      </c>
      <c r="H17" s="357">
        <f t="shared" si="2"/>
        <v>0</v>
      </c>
      <c r="I17" s="357">
        <f t="shared" si="2"/>
        <v>-392.476</v>
      </c>
      <c r="J17" s="357">
        <f t="shared" si="2"/>
        <v>0</v>
      </c>
      <c r="K17" s="357">
        <f t="shared" si="2"/>
        <v>31734.694000000003</v>
      </c>
      <c r="L17" s="357">
        <f t="shared" si="2"/>
        <v>3920.2240000000065</v>
      </c>
      <c r="M17" s="357">
        <f t="shared" si="2"/>
        <v>0</v>
      </c>
      <c r="N17" s="357">
        <f aca="true" t="shared" si="3" ref="N17:T17">SUM(N9:N16)</f>
        <v>0</v>
      </c>
      <c r="O17" s="357">
        <f t="shared" si="3"/>
        <v>0</v>
      </c>
      <c r="P17" s="357">
        <f t="shared" si="3"/>
        <v>0</v>
      </c>
      <c r="Q17" s="357">
        <f t="shared" si="3"/>
        <v>0</v>
      </c>
      <c r="R17" s="357">
        <f t="shared" si="3"/>
        <v>668.039</v>
      </c>
      <c r="S17" s="357">
        <f t="shared" si="3"/>
        <v>64.982</v>
      </c>
      <c r="T17" s="357">
        <f t="shared" si="3"/>
        <v>0</v>
      </c>
      <c r="U17" s="359">
        <f>SUM(U9:U15)</f>
        <v>36272.11299999997</v>
      </c>
      <c r="V17" s="356"/>
      <c r="W17" s="358"/>
      <c r="X17" s="357"/>
      <c r="Y17" s="360">
        <f>SUM(Y9:Y16)</f>
        <v>36272.11299999997</v>
      </c>
      <c r="Z17" s="360">
        <f>SUM(Z9:Z15)</f>
        <v>24140.211999999978</v>
      </c>
      <c r="AA17" s="360">
        <f t="shared" si="0"/>
        <v>12131.90099999999</v>
      </c>
      <c r="AB17" s="362">
        <f>SUM(AA9:AA16)</f>
        <v>12131.900999999987</v>
      </c>
      <c r="AC17" s="362">
        <v>23301.681499999984</v>
      </c>
      <c r="AD17" s="362">
        <f t="shared" si="1"/>
        <v>12970.431499999984</v>
      </c>
    </row>
    <row r="18" spans="1:34" ht="12.75">
      <c r="A18" s="436"/>
      <c r="B18" s="357"/>
      <c r="C18" s="357"/>
      <c r="D18" s="357"/>
      <c r="E18" s="357"/>
      <c r="F18" s="357"/>
      <c r="G18" s="357"/>
      <c r="H18" s="357"/>
      <c r="I18" s="357"/>
      <c r="J18" s="357"/>
      <c r="K18" s="357"/>
      <c r="L18" s="357"/>
      <c r="M18" s="359"/>
      <c r="N18" s="359"/>
      <c r="O18" s="359"/>
      <c r="P18" s="359"/>
      <c r="Q18" s="359"/>
      <c r="R18" s="359"/>
      <c r="S18" s="359"/>
      <c r="T18" s="359"/>
      <c r="U18" s="359"/>
      <c r="V18" s="356"/>
      <c r="W18" s="358"/>
      <c r="X18" s="357"/>
      <c r="Y18" s="360"/>
      <c r="Z18" s="360"/>
      <c r="AA18" s="360"/>
      <c r="AD18" s="362">
        <f t="shared" si="1"/>
        <v>0</v>
      </c>
      <c r="AH18" s="361"/>
    </row>
    <row r="19" spans="1:36" ht="12.75">
      <c r="A19" s="436" t="s">
        <v>530</v>
      </c>
      <c r="B19" s="357">
        <f>pl!E14</f>
        <v>120</v>
      </c>
      <c r="C19" s="357">
        <f>+pl!G14</f>
        <v>0</v>
      </c>
      <c r="D19" s="357">
        <f>+pl!H14</f>
        <v>0</v>
      </c>
      <c r="E19" s="357">
        <f>+pl!I14</f>
        <v>0</v>
      </c>
      <c r="F19" s="357">
        <f>+pl!J14</f>
        <v>0</v>
      </c>
      <c r="G19" s="357">
        <v>0</v>
      </c>
      <c r="H19" s="357">
        <v>0</v>
      </c>
      <c r="I19" s="357">
        <v>0</v>
      </c>
      <c r="J19" s="357">
        <v>0</v>
      </c>
      <c r="K19" s="357">
        <f>+pl!O14</f>
        <v>911.373</v>
      </c>
      <c r="L19" s="357">
        <f>+pl!P14</f>
        <v>0</v>
      </c>
      <c r="M19" s="359">
        <v>0</v>
      </c>
      <c r="N19" s="359">
        <v>0</v>
      </c>
      <c r="O19" s="359">
        <f>50000/1000</f>
        <v>50</v>
      </c>
      <c r="P19" s="359">
        <v>0</v>
      </c>
      <c r="Q19" s="359">
        <v>0</v>
      </c>
      <c r="R19" s="359">
        <v>0</v>
      </c>
      <c r="S19" s="359">
        <v>0</v>
      </c>
      <c r="T19" s="359">
        <v>0</v>
      </c>
      <c r="U19" s="359">
        <f>SUM(B19:T19)</f>
        <v>1081.373</v>
      </c>
      <c r="V19" s="356" t="s">
        <v>1120</v>
      </c>
      <c r="W19" s="358">
        <f>(+je!C134/1000+je!O38/1000)</f>
        <v>1031.373</v>
      </c>
      <c r="X19" s="357"/>
      <c r="Y19" s="360">
        <f>+U19-W19+X19</f>
        <v>50</v>
      </c>
      <c r="Z19" s="360">
        <v>50</v>
      </c>
      <c r="AA19" s="360">
        <f aca="true" t="shared" si="4" ref="AA19:AA31">+Y19-Z19</f>
        <v>0</v>
      </c>
      <c r="AC19" s="362">
        <v>86.4</v>
      </c>
      <c r="AD19" s="362">
        <f t="shared" si="1"/>
        <v>-36.400000000000006</v>
      </c>
      <c r="AH19" s="361">
        <f>+Z19</f>
        <v>50</v>
      </c>
      <c r="AI19" s="362">
        <f>+Y19</f>
        <v>50</v>
      </c>
      <c r="AJ19" s="362">
        <f>+AI19-AH19</f>
        <v>0</v>
      </c>
    </row>
    <row r="20" spans="1:36" ht="12.75">
      <c r="A20" s="436" t="s">
        <v>40</v>
      </c>
      <c r="B20" s="357">
        <f>+pl!E15</f>
        <v>2015.097</v>
      </c>
      <c r="C20" s="357">
        <f>+pl!G15</f>
        <v>0</v>
      </c>
      <c r="D20" s="357">
        <f>+pl!H15</f>
        <v>0</v>
      </c>
      <c r="E20" s="357">
        <f>+pl!I15</f>
        <v>0</v>
      </c>
      <c r="F20" s="357">
        <f>+pl!J15</f>
        <v>0</v>
      </c>
      <c r="G20" s="357">
        <v>0</v>
      </c>
      <c r="H20" s="357">
        <v>0</v>
      </c>
      <c r="I20" s="357">
        <v>0</v>
      </c>
      <c r="J20" s="357">
        <v>0</v>
      </c>
      <c r="K20" s="357">
        <f>+pl!O15</f>
        <v>0</v>
      </c>
      <c r="L20" s="357">
        <f>+pl!P15</f>
        <v>0</v>
      </c>
      <c r="M20" s="359">
        <v>0</v>
      </c>
      <c r="N20" s="359">
        <v>0</v>
      </c>
      <c r="O20" s="359">
        <v>0</v>
      </c>
      <c r="P20" s="359">
        <v>0</v>
      </c>
      <c r="Q20" s="359">
        <v>0</v>
      </c>
      <c r="R20" s="359">
        <v>0</v>
      </c>
      <c r="S20" s="359">
        <v>0</v>
      </c>
      <c r="T20" s="359">
        <v>0</v>
      </c>
      <c r="U20" s="359">
        <f aca="true" t="shared" si="5" ref="U20:U31">SUM(B20:T20)</f>
        <v>2015.097</v>
      </c>
      <c r="V20" s="356" t="str">
        <f>+je!$A$55</f>
        <v>CJE 7</v>
      </c>
      <c r="W20" s="358">
        <f>+je!C59/1000</f>
        <v>2015.895</v>
      </c>
      <c r="X20" s="357"/>
      <c r="Y20" s="360">
        <f>+U20-W20+X20</f>
        <v>-0.7980000000000018</v>
      </c>
      <c r="Z20" s="360">
        <v>0</v>
      </c>
      <c r="AA20" s="360">
        <f t="shared" si="4"/>
        <v>-0.7980000000000018</v>
      </c>
      <c r="AC20" s="362">
        <v>0</v>
      </c>
      <c r="AD20" s="362">
        <f t="shared" si="1"/>
        <v>-0.7980000000000018</v>
      </c>
      <c r="AH20" s="361">
        <f aca="true" t="shared" si="6" ref="AH20:AH31">+Z20</f>
        <v>0</v>
      </c>
      <c r="AI20" s="362">
        <f aca="true" t="shared" si="7" ref="AI20:AI31">+Y20</f>
        <v>-0.7980000000000018</v>
      </c>
      <c r="AJ20" s="362">
        <f aca="true" t="shared" si="8" ref="AJ20:AJ31">+AI20-AH20</f>
        <v>-0.7980000000000018</v>
      </c>
    </row>
    <row r="21" spans="1:36" ht="12.75">
      <c r="A21" s="436" t="s">
        <v>527</v>
      </c>
      <c r="B21" s="357">
        <f>+pl!E16</f>
        <v>0</v>
      </c>
      <c r="C21" s="357">
        <f>+pl!G16</f>
        <v>0</v>
      </c>
      <c r="D21" s="357">
        <f>+pl!H16</f>
        <v>0</v>
      </c>
      <c r="E21" s="357">
        <f>+pl!I16</f>
        <v>0</v>
      </c>
      <c r="F21" s="357">
        <f>+pl!J16</f>
        <v>0</v>
      </c>
      <c r="G21" s="357">
        <v>0</v>
      </c>
      <c r="H21" s="357">
        <v>0</v>
      </c>
      <c r="I21" s="357">
        <v>0</v>
      </c>
      <c r="J21" s="357">
        <v>0</v>
      </c>
      <c r="K21" s="357">
        <f>+pl!O16</f>
        <v>0</v>
      </c>
      <c r="L21" s="357">
        <f>+pl!P16</f>
        <v>0</v>
      </c>
      <c r="M21" s="359">
        <v>0</v>
      </c>
      <c r="N21" s="359">
        <v>0</v>
      </c>
      <c r="O21" s="359">
        <v>0</v>
      </c>
      <c r="P21" s="359">
        <v>0</v>
      </c>
      <c r="Q21" s="359">
        <v>0</v>
      </c>
      <c r="R21" s="359">
        <v>0</v>
      </c>
      <c r="S21" s="359">
        <v>0</v>
      </c>
      <c r="T21" s="359">
        <v>0</v>
      </c>
      <c r="U21" s="359">
        <f t="shared" si="5"/>
        <v>0</v>
      </c>
      <c r="V21" s="356"/>
      <c r="W21" s="358">
        <f>+je!O57/1000</f>
        <v>0</v>
      </c>
      <c r="X21" s="357"/>
      <c r="Y21" s="360">
        <f aca="true" t="shared" si="9" ref="Y21:Y29">+U21-W21+X21</f>
        <v>0</v>
      </c>
      <c r="Z21" s="360">
        <v>0</v>
      </c>
      <c r="AA21" s="360">
        <f t="shared" si="4"/>
        <v>0</v>
      </c>
      <c r="AC21" s="362">
        <v>0</v>
      </c>
      <c r="AD21" s="362">
        <f t="shared" si="1"/>
        <v>0</v>
      </c>
      <c r="AH21" s="361">
        <f t="shared" si="6"/>
        <v>0</v>
      </c>
      <c r="AI21" s="362">
        <f t="shared" si="7"/>
        <v>0</v>
      </c>
      <c r="AJ21" s="362">
        <f t="shared" si="8"/>
        <v>0</v>
      </c>
    </row>
    <row r="22" spans="1:36" ht="12.75">
      <c r="A22" s="436" t="s">
        <v>528</v>
      </c>
      <c r="B22" s="357">
        <f>+pl!E17</f>
        <v>300</v>
      </c>
      <c r="C22" s="896">
        <f>+pl!G17</f>
        <v>8.4</v>
      </c>
      <c r="D22" s="357">
        <f>+pl!H17</f>
        <v>477.053</v>
      </c>
      <c r="E22" s="357">
        <f>+pl!I17</f>
        <v>0</v>
      </c>
      <c r="F22" s="896">
        <f>+pl!J17</f>
        <v>0</v>
      </c>
      <c r="G22" s="357">
        <v>0</v>
      </c>
      <c r="H22" s="357">
        <v>0</v>
      </c>
      <c r="I22" s="357">
        <v>0</v>
      </c>
      <c r="J22" s="357">
        <v>0</v>
      </c>
      <c r="K22" s="357">
        <f>+pl!O17</f>
        <v>120</v>
      </c>
      <c r="L22" s="357">
        <f>+pl!P17</f>
        <v>0</v>
      </c>
      <c r="M22" s="359">
        <v>0</v>
      </c>
      <c r="N22" s="359">
        <v>0</v>
      </c>
      <c r="O22" s="359">
        <v>0</v>
      </c>
      <c r="P22" s="359">
        <v>0</v>
      </c>
      <c r="Q22" s="897">
        <v>9.2</v>
      </c>
      <c r="R22" s="359">
        <v>0</v>
      </c>
      <c r="S22" s="359">
        <v>0</v>
      </c>
      <c r="T22" s="359">
        <v>0</v>
      </c>
      <c r="U22" s="897">
        <f>SUM(B22:T22)</f>
        <v>914.653</v>
      </c>
      <c r="V22" s="356" t="str">
        <f>+je!$A$55</f>
        <v>CJE 7</v>
      </c>
      <c r="W22" s="358">
        <f>+je!O56/1000</f>
        <v>897.053</v>
      </c>
      <c r="X22" s="357"/>
      <c r="Y22" s="360">
        <f t="shared" si="9"/>
        <v>17.600000000000023</v>
      </c>
      <c r="Z22" s="360">
        <v>14.4</v>
      </c>
      <c r="AA22" s="360">
        <f t="shared" si="4"/>
        <v>3.2000000000000224</v>
      </c>
      <c r="AC22" s="362">
        <v>25.7</v>
      </c>
      <c r="AD22" s="362">
        <f t="shared" si="1"/>
        <v>-8.099999999999977</v>
      </c>
      <c r="AH22" s="361">
        <f t="shared" si="6"/>
        <v>14.4</v>
      </c>
      <c r="AI22" s="362">
        <f t="shared" si="7"/>
        <v>17.600000000000023</v>
      </c>
      <c r="AJ22" s="362">
        <f t="shared" si="8"/>
        <v>3.2000000000000224</v>
      </c>
    </row>
    <row r="23" spans="1:36" ht="12.75">
      <c r="A23" s="436" t="s">
        <v>529</v>
      </c>
      <c r="B23" s="357">
        <f>+pl!E18</f>
        <v>0</v>
      </c>
      <c r="C23" s="357">
        <f>+pl!G18</f>
        <v>0</v>
      </c>
      <c r="D23" s="357">
        <f>+pl!H18</f>
        <v>0</v>
      </c>
      <c r="E23" s="357">
        <f>+pl!I18</f>
        <v>0</v>
      </c>
      <c r="F23" s="357">
        <f>+pl!J18</f>
        <v>0</v>
      </c>
      <c r="G23" s="357">
        <v>0</v>
      </c>
      <c r="H23" s="357">
        <v>0</v>
      </c>
      <c r="I23" s="357">
        <v>0</v>
      </c>
      <c r="J23" s="357">
        <v>0</v>
      </c>
      <c r="K23" s="357">
        <f>+pl!O18</f>
        <v>0</v>
      </c>
      <c r="L23" s="357">
        <f>+pl!P18</f>
        <v>0</v>
      </c>
      <c r="M23" s="359">
        <v>0</v>
      </c>
      <c r="N23" s="359">
        <v>0</v>
      </c>
      <c r="O23" s="359">
        <v>0</v>
      </c>
      <c r="P23" s="359">
        <v>0</v>
      </c>
      <c r="Q23" s="359">
        <v>0</v>
      </c>
      <c r="R23" s="359">
        <v>0</v>
      </c>
      <c r="S23" s="359">
        <v>0</v>
      </c>
      <c r="T23" s="359">
        <v>0</v>
      </c>
      <c r="U23" s="359">
        <f t="shared" si="5"/>
        <v>0</v>
      </c>
      <c r="V23" s="356" t="s">
        <v>408</v>
      </c>
      <c r="W23" s="358">
        <f>+je!C61/1000</f>
        <v>0</v>
      </c>
      <c r="X23" s="357"/>
      <c r="Y23" s="360">
        <f t="shared" si="9"/>
        <v>0</v>
      </c>
      <c r="Z23" s="360">
        <v>0</v>
      </c>
      <c r="AA23" s="360">
        <f t="shared" si="4"/>
        <v>0</v>
      </c>
      <c r="AC23" s="362">
        <v>234</v>
      </c>
      <c r="AD23" s="362">
        <f t="shared" si="1"/>
        <v>-234</v>
      </c>
      <c r="AH23" s="361">
        <f t="shared" si="6"/>
        <v>0</v>
      </c>
      <c r="AI23" s="362">
        <f t="shared" si="7"/>
        <v>0</v>
      </c>
      <c r="AJ23" s="362">
        <f t="shared" si="8"/>
        <v>0</v>
      </c>
    </row>
    <row r="24" spans="1:36" ht="12.75">
      <c r="A24" s="436" t="s">
        <v>1307</v>
      </c>
      <c r="B24" s="357">
        <f>+pl!E23</f>
        <v>36.999</v>
      </c>
      <c r="C24" s="357"/>
      <c r="D24" s="357">
        <f>+pl!H23</f>
        <v>56.099</v>
      </c>
      <c r="E24" s="357">
        <f>+pl!I23</f>
        <v>10.699</v>
      </c>
      <c r="F24" s="357"/>
      <c r="G24" s="357"/>
      <c r="H24" s="357"/>
      <c r="I24" s="357"/>
      <c r="J24" s="357"/>
      <c r="K24" s="357">
        <f>+pl!O23</f>
        <v>0.05</v>
      </c>
      <c r="L24" s="357">
        <f>+pl!P23</f>
        <v>0.6</v>
      </c>
      <c r="M24" s="359"/>
      <c r="N24" s="359"/>
      <c r="O24" s="359"/>
      <c r="P24" s="359"/>
      <c r="Q24" s="359"/>
      <c r="R24" s="359"/>
      <c r="S24" s="359"/>
      <c r="T24" s="359"/>
      <c r="U24" s="359">
        <f t="shared" si="5"/>
        <v>104.44699999999999</v>
      </c>
      <c r="V24" s="356"/>
      <c r="W24" s="358"/>
      <c r="X24" s="357"/>
      <c r="Y24" s="360">
        <f t="shared" si="9"/>
        <v>104.44699999999999</v>
      </c>
      <c r="Z24" s="360">
        <v>64.226</v>
      </c>
      <c r="AA24" s="360">
        <f t="shared" si="4"/>
        <v>40.22099999999999</v>
      </c>
      <c r="AC24" s="362">
        <v>0</v>
      </c>
      <c r="AD24" s="362">
        <f t="shared" si="1"/>
        <v>104.44699999999999</v>
      </c>
      <c r="AH24" s="361">
        <f t="shared" si="6"/>
        <v>64.226</v>
      </c>
      <c r="AI24" s="362">
        <f t="shared" si="7"/>
        <v>104.44699999999999</v>
      </c>
      <c r="AJ24" s="362">
        <f t="shared" si="8"/>
        <v>40.22099999999999</v>
      </c>
    </row>
    <row r="25" spans="1:36" ht="12.75">
      <c r="A25" s="436" t="s">
        <v>107</v>
      </c>
      <c r="B25" s="357">
        <f>+pl!E22</f>
        <v>798.741</v>
      </c>
      <c r="C25" s="357">
        <f>+pl!G22</f>
        <v>0</v>
      </c>
      <c r="D25" s="357">
        <f>+pl!H22</f>
        <v>0</v>
      </c>
      <c r="E25" s="357">
        <f>+pl!I22</f>
        <v>0</v>
      </c>
      <c r="F25" s="357">
        <f>+pl!J22</f>
        <v>0</v>
      </c>
      <c r="G25" s="357">
        <v>0</v>
      </c>
      <c r="H25" s="357">
        <v>0</v>
      </c>
      <c r="I25" s="357">
        <v>0</v>
      </c>
      <c r="J25" s="357">
        <v>0</v>
      </c>
      <c r="K25" s="357">
        <v>0</v>
      </c>
      <c r="L25" s="357">
        <f>+pl!P22</f>
        <v>0</v>
      </c>
      <c r="M25" s="359">
        <v>0</v>
      </c>
      <c r="N25" s="359">
        <v>0</v>
      </c>
      <c r="O25" s="359">
        <v>0</v>
      </c>
      <c r="P25" s="359">
        <v>0</v>
      </c>
      <c r="Q25" s="359">
        <v>0</v>
      </c>
      <c r="R25" s="359">
        <v>0</v>
      </c>
      <c r="S25" s="359">
        <v>0</v>
      </c>
      <c r="T25" s="359">
        <v>0</v>
      </c>
      <c r="U25" s="359">
        <f t="shared" si="5"/>
        <v>798.741</v>
      </c>
      <c r="V25" s="356" t="s">
        <v>876</v>
      </c>
      <c r="W25" s="358">
        <f>je!D203/1000+je!O221/1000</f>
        <v>-756.5802000000001</v>
      </c>
      <c r="X25" s="357"/>
      <c r="Y25" s="360">
        <f t="shared" si="9"/>
        <v>1555.3212</v>
      </c>
      <c r="Z25" s="360">
        <v>1559.217</v>
      </c>
      <c r="AA25" s="360">
        <f t="shared" si="4"/>
        <v>-3.8958000000000084</v>
      </c>
      <c r="AC25" s="362">
        <v>0</v>
      </c>
      <c r="AD25" s="362">
        <f t="shared" si="1"/>
        <v>1555.3212</v>
      </c>
      <c r="AH25" s="361">
        <f t="shared" si="6"/>
        <v>1559.217</v>
      </c>
      <c r="AI25" s="362">
        <f t="shared" si="7"/>
        <v>1555.3212</v>
      </c>
      <c r="AJ25" s="362">
        <f t="shared" si="8"/>
        <v>-3.8958000000000084</v>
      </c>
    </row>
    <row r="26" spans="1:36" ht="12.75">
      <c r="A26" s="436" t="s">
        <v>1255</v>
      </c>
      <c r="B26" s="357">
        <v>0</v>
      </c>
      <c r="C26" s="357">
        <v>0</v>
      </c>
      <c r="D26" s="357">
        <v>0</v>
      </c>
      <c r="E26" s="357">
        <v>0</v>
      </c>
      <c r="F26" s="357">
        <v>0</v>
      </c>
      <c r="G26" s="357">
        <v>0</v>
      </c>
      <c r="H26" s="357">
        <v>0</v>
      </c>
      <c r="I26" s="357">
        <v>0</v>
      </c>
      <c r="J26" s="357">
        <v>0</v>
      </c>
      <c r="K26" s="357">
        <v>0</v>
      </c>
      <c r="L26" s="357">
        <v>0</v>
      </c>
      <c r="M26" s="359">
        <v>0</v>
      </c>
      <c r="N26" s="359">
        <v>0</v>
      </c>
      <c r="O26" s="359">
        <v>0</v>
      </c>
      <c r="P26" s="359">
        <v>0</v>
      </c>
      <c r="Q26" s="359">
        <v>0</v>
      </c>
      <c r="R26" s="359">
        <v>0</v>
      </c>
      <c r="S26" s="359">
        <v>0</v>
      </c>
      <c r="T26" s="359">
        <v>0</v>
      </c>
      <c r="U26" s="359">
        <f t="shared" si="5"/>
        <v>0</v>
      </c>
      <c r="V26" s="356"/>
      <c r="W26" s="358">
        <f>+je!O156/1000</f>
        <v>0</v>
      </c>
      <c r="X26" s="357"/>
      <c r="Y26" s="360">
        <f t="shared" si="9"/>
        <v>0</v>
      </c>
      <c r="Z26" s="360">
        <v>0</v>
      </c>
      <c r="AA26" s="360">
        <f t="shared" si="4"/>
        <v>0</v>
      </c>
      <c r="AD26" s="362">
        <f aca="true" t="shared" si="10" ref="AD26:AD57">Y26-AC26</f>
        <v>0</v>
      </c>
      <c r="AH26" s="361">
        <f t="shared" si="6"/>
        <v>0</v>
      </c>
      <c r="AI26" s="362">
        <f t="shared" si="7"/>
        <v>0</v>
      </c>
      <c r="AJ26" s="362">
        <f t="shared" si="8"/>
        <v>0</v>
      </c>
    </row>
    <row r="27" spans="1:36" ht="12.75">
      <c r="A27" s="436" t="s">
        <v>531</v>
      </c>
      <c r="B27" s="357">
        <f>+pl!E24+pl!E26</f>
        <v>42</v>
      </c>
      <c r="C27" s="357">
        <f>+pl!G24</f>
        <v>0</v>
      </c>
      <c r="D27" s="357">
        <f>+pl!H24</f>
        <v>58.471</v>
      </c>
      <c r="E27" s="357">
        <f>+pl!I24</f>
        <v>0</v>
      </c>
      <c r="F27" s="357">
        <f>+pl!J24</f>
        <v>0.15</v>
      </c>
      <c r="G27" s="357">
        <v>0</v>
      </c>
      <c r="H27" s="357">
        <v>0</v>
      </c>
      <c r="I27" s="357">
        <f>+pl!M24</f>
        <v>0</v>
      </c>
      <c r="J27" s="357">
        <v>0</v>
      </c>
      <c r="K27" s="357">
        <f>+pl!O24</f>
        <v>63.541</v>
      </c>
      <c r="L27" s="357">
        <f>+pl!P24</f>
        <v>0</v>
      </c>
      <c r="M27" s="359">
        <v>0</v>
      </c>
      <c r="N27" s="359">
        <v>0</v>
      </c>
      <c r="O27" s="359">
        <v>20.219</v>
      </c>
      <c r="P27" s="359">
        <v>0</v>
      </c>
      <c r="Q27" s="359">
        <v>0</v>
      </c>
      <c r="R27" s="359">
        <v>88.385</v>
      </c>
      <c r="S27" s="359">
        <v>0</v>
      </c>
      <c r="T27" s="359">
        <v>0</v>
      </c>
      <c r="U27" s="359">
        <f t="shared" si="5"/>
        <v>272.766</v>
      </c>
      <c r="V27" s="356"/>
      <c r="W27" s="358">
        <v>0</v>
      </c>
      <c r="X27" s="357"/>
      <c r="Y27" s="360">
        <f t="shared" si="9"/>
        <v>272.766</v>
      </c>
      <c r="Z27" s="360">
        <v>195.171</v>
      </c>
      <c r="AA27" s="360">
        <f t="shared" si="4"/>
        <v>77.59500000000003</v>
      </c>
      <c r="AC27" s="362">
        <v>456.3747</v>
      </c>
      <c r="AD27" s="362">
        <f t="shared" si="10"/>
        <v>-183.6087</v>
      </c>
      <c r="AH27" s="361">
        <f t="shared" si="6"/>
        <v>195.171</v>
      </c>
      <c r="AI27" s="362">
        <f t="shared" si="7"/>
        <v>272.766</v>
      </c>
      <c r="AJ27" s="362">
        <f t="shared" si="8"/>
        <v>77.59500000000003</v>
      </c>
    </row>
    <row r="28" spans="1:36" ht="12.75">
      <c r="A28" s="436" t="s">
        <v>185</v>
      </c>
      <c r="B28" s="357">
        <v>0</v>
      </c>
      <c r="C28" s="357">
        <f>+pl!G25</f>
        <v>70.277</v>
      </c>
      <c r="D28" s="357">
        <f>+pl!H25</f>
        <v>296.367</v>
      </c>
      <c r="E28" s="357">
        <f>+pl!I25</f>
        <v>8</v>
      </c>
      <c r="F28" s="357">
        <f>+pl!J25</f>
        <v>115.712</v>
      </c>
      <c r="G28" s="357">
        <v>0</v>
      </c>
      <c r="H28" s="357">
        <v>0</v>
      </c>
      <c r="I28" s="357">
        <v>0</v>
      </c>
      <c r="J28" s="357">
        <v>0</v>
      </c>
      <c r="K28" s="357">
        <f>pl!O25</f>
        <v>0</v>
      </c>
      <c r="L28" s="357">
        <v>0</v>
      </c>
      <c r="M28" s="359">
        <v>0</v>
      </c>
      <c r="N28" s="359">
        <v>0</v>
      </c>
      <c r="O28" s="359">
        <v>0</v>
      </c>
      <c r="P28" s="359">
        <v>0</v>
      </c>
      <c r="Q28" s="359">
        <v>0</v>
      </c>
      <c r="R28" s="359">
        <v>0</v>
      </c>
      <c r="S28" s="359">
        <v>0</v>
      </c>
      <c r="T28" s="359">
        <v>0</v>
      </c>
      <c r="U28" s="359">
        <f t="shared" si="5"/>
        <v>490.356</v>
      </c>
      <c r="V28" s="356"/>
      <c r="W28" s="358"/>
      <c r="X28" s="357"/>
      <c r="Y28" s="360">
        <f t="shared" si="9"/>
        <v>490.356</v>
      </c>
      <c r="Z28" s="360">
        <v>131.874</v>
      </c>
      <c r="AA28" s="360">
        <f t="shared" si="4"/>
        <v>358.48199999999997</v>
      </c>
      <c r="AC28" s="362">
        <v>315.81</v>
      </c>
      <c r="AD28" s="362">
        <f t="shared" si="10"/>
        <v>174.546</v>
      </c>
      <c r="AH28" s="361">
        <f t="shared" si="6"/>
        <v>131.874</v>
      </c>
      <c r="AI28" s="362">
        <f t="shared" si="7"/>
        <v>490.356</v>
      </c>
      <c r="AJ28" s="362">
        <f t="shared" si="8"/>
        <v>358.48199999999997</v>
      </c>
    </row>
    <row r="29" spans="1:36" ht="12.75">
      <c r="A29" s="436" t="s">
        <v>187</v>
      </c>
      <c r="B29" s="357">
        <v>0</v>
      </c>
      <c r="C29" s="357">
        <v>0</v>
      </c>
      <c r="D29" s="357">
        <v>0</v>
      </c>
      <c r="E29" s="357">
        <v>0</v>
      </c>
      <c r="F29" s="357">
        <v>0</v>
      </c>
      <c r="G29" s="357">
        <v>0</v>
      </c>
      <c r="H29" s="357">
        <v>0</v>
      </c>
      <c r="I29" s="357">
        <v>0</v>
      </c>
      <c r="J29" s="357">
        <v>0</v>
      </c>
      <c r="K29" s="357">
        <v>0</v>
      </c>
      <c r="L29" s="357">
        <v>0</v>
      </c>
      <c r="M29" s="359">
        <v>0</v>
      </c>
      <c r="N29" s="359">
        <v>0</v>
      </c>
      <c r="O29" s="359">
        <v>0</v>
      </c>
      <c r="P29" s="359">
        <v>0</v>
      </c>
      <c r="Q29" s="359">
        <v>0</v>
      </c>
      <c r="R29" s="359">
        <v>0</v>
      </c>
      <c r="S29" s="359">
        <v>0</v>
      </c>
      <c r="T29" s="359">
        <v>0</v>
      </c>
      <c r="U29" s="359">
        <f t="shared" si="5"/>
        <v>0</v>
      </c>
      <c r="V29" s="356"/>
      <c r="W29" s="358"/>
      <c r="X29" s="357"/>
      <c r="Y29" s="360">
        <f t="shared" si="9"/>
        <v>0</v>
      </c>
      <c r="Z29" s="360">
        <v>0</v>
      </c>
      <c r="AA29" s="360">
        <f t="shared" si="4"/>
        <v>0</v>
      </c>
      <c r="AC29" s="362">
        <v>170.959</v>
      </c>
      <c r="AD29" s="362">
        <f t="shared" si="10"/>
        <v>-170.959</v>
      </c>
      <c r="AH29" s="361">
        <f t="shared" si="6"/>
        <v>0</v>
      </c>
      <c r="AI29" s="362">
        <f t="shared" si="7"/>
        <v>0</v>
      </c>
      <c r="AJ29" s="362">
        <f t="shared" si="8"/>
        <v>0</v>
      </c>
    </row>
    <row r="30" spans="1:36" ht="12.75">
      <c r="A30" s="436" t="s">
        <v>532</v>
      </c>
      <c r="B30" s="357">
        <f>+pl!E27</f>
        <v>0</v>
      </c>
      <c r="C30" s="357">
        <f>+pl!G27</f>
        <v>0</v>
      </c>
      <c r="D30" s="357">
        <f>+pl!H27</f>
        <v>0</v>
      </c>
      <c r="E30" s="357">
        <f>+pl!I27</f>
        <v>0</v>
      </c>
      <c r="F30" s="357">
        <f>+pl!J27</f>
        <v>0</v>
      </c>
      <c r="G30" s="357">
        <v>0</v>
      </c>
      <c r="H30" s="357">
        <v>0</v>
      </c>
      <c r="I30" s="357">
        <v>0</v>
      </c>
      <c r="J30" s="357">
        <v>0</v>
      </c>
      <c r="K30" s="357">
        <f>+pl!O27</f>
        <v>0</v>
      </c>
      <c r="L30" s="357">
        <f>+pl!P27</f>
        <v>3</v>
      </c>
      <c r="M30" s="359">
        <v>0</v>
      </c>
      <c r="N30" s="359">
        <v>0</v>
      </c>
      <c r="O30" s="359">
        <v>0</v>
      </c>
      <c r="P30" s="359">
        <v>0</v>
      </c>
      <c r="Q30" s="359">
        <v>0</v>
      </c>
      <c r="R30" s="359">
        <v>0</v>
      </c>
      <c r="S30" s="359">
        <v>0</v>
      </c>
      <c r="T30" s="359">
        <v>0</v>
      </c>
      <c r="U30" s="359">
        <f t="shared" si="5"/>
        <v>3</v>
      </c>
      <c r="V30" s="356"/>
      <c r="W30" s="358"/>
      <c r="X30" s="357"/>
      <c r="Y30" s="360">
        <f>+U30-W30+X30</f>
        <v>3</v>
      </c>
      <c r="Z30" s="360">
        <v>-0.537</v>
      </c>
      <c r="AA30" s="360">
        <f t="shared" si="4"/>
        <v>3.537</v>
      </c>
      <c r="AC30" s="362">
        <v>-5.516</v>
      </c>
      <c r="AD30" s="362">
        <f t="shared" si="10"/>
        <v>8.516</v>
      </c>
      <c r="AH30" s="361">
        <f t="shared" si="6"/>
        <v>-0.537</v>
      </c>
      <c r="AI30" s="362">
        <f t="shared" si="7"/>
        <v>3</v>
      </c>
      <c r="AJ30" s="362">
        <f t="shared" si="8"/>
        <v>3.537</v>
      </c>
    </row>
    <row r="31" spans="1:36" ht="12.75">
      <c r="A31" s="436" t="s">
        <v>1436</v>
      </c>
      <c r="B31" s="357">
        <f>+pl!E28</f>
        <v>33.985</v>
      </c>
      <c r="C31" s="357">
        <f>+pl!G28</f>
        <v>0</v>
      </c>
      <c r="D31" s="357">
        <f>+pl!H28</f>
        <v>3.026</v>
      </c>
      <c r="E31" s="357">
        <f>+pl!I28</f>
        <v>0</v>
      </c>
      <c r="F31" s="357">
        <f>+pl!J28</f>
        <v>0</v>
      </c>
      <c r="G31" s="357">
        <v>0</v>
      </c>
      <c r="H31" s="357">
        <v>4.525</v>
      </c>
      <c r="I31" s="357">
        <f>+pl!M28</f>
        <v>0</v>
      </c>
      <c r="J31" s="357">
        <v>0</v>
      </c>
      <c r="K31" s="357">
        <f>+pl!O28</f>
        <v>1069.916</v>
      </c>
      <c r="L31" s="357">
        <f>+pl!P28</f>
        <v>55.249</v>
      </c>
      <c r="M31" s="359">
        <v>0</v>
      </c>
      <c r="N31" s="359">
        <v>1.297</v>
      </c>
      <c r="O31" s="359">
        <v>0</v>
      </c>
      <c r="P31" s="359">
        <v>0</v>
      </c>
      <c r="Q31" s="359">
        <v>0</v>
      </c>
      <c r="R31" s="359">
        <v>0</v>
      </c>
      <c r="S31" s="359">
        <v>0</v>
      </c>
      <c r="T31" s="359">
        <v>0</v>
      </c>
      <c r="U31" s="359">
        <f t="shared" si="5"/>
        <v>1167.998</v>
      </c>
      <c r="V31" s="356" t="str">
        <f>+je!$A$55</f>
        <v>CJE 7</v>
      </c>
      <c r="W31" s="358">
        <f>+je!O58/1000</f>
        <v>416</v>
      </c>
      <c r="X31" s="357">
        <v>0</v>
      </c>
      <c r="Y31" s="360">
        <f>+U31-W31-W32+X31</f>
        <v>751.998</v>
      </c>
      <c r="Z31" s="360">
        <v>450.319</v>
      </c>
      <c r="AA31" s="731">
        <f t="shared" si="4"/>
        <v>301.67900000000003</v>
      </c>
      <c r="AC31" s="362">
        <v>153.53275999999994</v>
      </c>
      <c r="AD31" s="362">
        <f t="shared" si="10"/>
        <v>598.4652400000001</v>
      </c>
      <c r="AH31" s="361">
        <f t="shared" si="6"/>
        <v>450.319</v>
      </c>
      <c r="AI31" s="362">
        <f t="shared" si="7"/>
        <v>751.998</v>
      </c>
      <c r="AJ31" s="362">
        <f t="shared" si="8"/>
        <v>301.67900000000003</v>
      </c>
    </row>
    <row r="32" spans="1:36" ht="13.5" thickBot="1">
      <c r="A32" s="436"/>
      <c r="B32" s="357"/>
      <c r="C32" s="357"/>
      <c r="D32" s="357"/>
      <c r="E32" s="357"/>
      <c r="F32" s="357"/>
      <c r="G32" s="357"/>
      <c r="H32" s="357"/>
      <c r="I32" s="357"/>
      <c r="J32" s="357"/>
      <c r="K32" s="357"/>
      <c r="L32" s="357"/>
      <c r="M32" s="359"/>
      <c r="N32" s="359"/>
      <c r="O32" s="359"/>
      <c r="P32" s="359"/>
      <c r="Q32" s="359"/>
      <c r="R32" s="359"/>
      <c r="S32" s="359"/>
      <c r="T32" s="359"/>
      <c r="U32" s="359"/>
      <c r="V32" s="356"/>
      <c r="W32" s="358">
        <v>0</v>
      </c>
      <c r="X32" s="357"/>
      <c r="Y32" s="360"/>
      <c r="Z32" s="360"/>
      <c r="AA32" s="360"/>
      <c r="AD32" s="362">
        <f t="shared" si="10"/>
        <v>0</v>
      </c>
      <c r="AH32" s="763">
        <f>SUM(AH19:AH31)</f>
        <v>2464.67</v>
      </c>
      <c r="AI32" s="763">
        <f>SUM(AI19:AI31)</f>
        <v>3244.6902000000005</v>
      </c>
      <c r="AJ32" s="883">
        <f>SUM(AJ19:AJ31)</f>
        <v>780.0202</v>
      </c>
    </row>
    <row r="33" spans="1:36" ht="13.5" thickTop="1">
      <c r="A33" s="436"/>
      <c r="B33" s="357">
        <f>SUM(B19:B32)</f>
        <v>3346.8219999999997</v>
      </c>
      <c r="C33" s="357">
        <f aca="true" t="shared" si="11" ref="C33:M33">SUM(C19:C31)</f>
        <v>78.677</v>
      </c>
      <c r="D33" s="357">
        <f t="shared" si="11"/>
        <v>891.016</v>
      </c>
      <c r="E33" s="357">
        <f t="shared" si="11"/>
        <v>18.698999999999998</v>
      </c>
      <c r="F33" s="357">
        <f t="shared" si="11"/>
        <v>115.86200000000001</v>
      </c>
      <c r="G33" s="357">
        <f t="shared" si="11"/>
        <v>0</v>
      </c>
      <c r="H33" s="357">
        <f t="shared" si="11"/>
        <v>4.525</v>
      </c>
      <c r="I33" s="357">
        <f t="shared" si="11"/>
        <v>0</v>
      </c>
      <c r="J33" s="357">
        <f t="shared" si="11"/>
        <v>0</v>
      </c>
      <c r="K33" s="357">
        <f t="shared" si="11"/>
        <v>2164.88</v>
      </c>
      <c r="L33" s="357">
        <f t="shared" si="11"/>
        <v>58.849000000000004</v>
      </c>
      <c r="M33" s="357">
        <f t="shared" si="11"/>
        <v>0</v>
      </c>
      <c r="N33" s="357">
        <f aca="true" t="shared" si="12" ref="N33:T33">SUM(N19:N31)</f>
        <v>1.297</v>
      </c>
      <c r="O33" s="357">
        <f t="shared" si="12"/>
        <v>70.219</v>
      </c>
      <c r="P33" s="357">
        <f t="shared" si="12"/>
        <v>0</v>
      </c>
      <c r="Q33" s="357">
        <f t="shared" si="12"/>
        <v>9.2</v>
      </c>
      <c r="R33" s="357">
        <f t="shared" si="12"/>
        <v>88.385</v>
      </c>
      <c r="S33" s="357">
        <f t="shared" si="12"/>
        <v>0</v>
      </c>
      <c r="T33" s="357">
        <f t="shared" si="12"/>
        <v>0</v>
      </c>
      <c r="U33" s="359">
        <f>SUM(U19:U31)</f>
        <v>6848.4310000000005</v>
      </c>
      <c r="V33" s="356"/>
      <c r="W33" s="358">
        <f>SUM(W19:W32)</f>
        <v>3603.7407999999996</v>
      </c>
      <c r="X33" s="357"/>
      <c r="Y33" s="360">
        <f>U33-W33</f>
        <v>3244.690200000001</v>
      </c>
      <c r="Z33" s="360">
        <f>SUM(Z19:Z31)</f>
        <v>2464.67</v>
      </c>
      <c r="AA33" s="360">
        <f>+Y33-Z33</f>
        <v>780.0202000000008</v>
      </c>
      <c r="AB33" s="362">
        <f>SUM(AA19:AA31)</f>
        <v>780.0202</v>
      </c>
      <c r="AC33" s="362">
        <v>1437.2604599999995</v>
      </c>
      <c r="AD33" s="362">
        <f t="shared" si="10"/>
        <v>1807.4297400000014</v>
      </c>
      <c r="AJ33" s="362">
        <f>-+AJ30</f>
        <v>-3.537</v>
      </c>
    </row>
    <row r="34" spans="1:36" ht="13.5" thickBot="1">
      <c r="A34" s="436"/>
      <c r="B34" s="357"/>
      <c r="C34" s="357"/>
      <c r="D34" s="357"/>
      <c r="E34" s="357"/>
      <c r="F34" s="357"/>
      <c r="G34" s="357"/>
      <c r="H34" s="357"/>
      <c r="I34" s="357"/>
      <c r="J34" s="357"/>
      <c r="K34" s="357"/>
      <c r="L34" s="357"/>
      <c r="M34" s="359"/>
      <c r="N34" s="359"/>
      <c r="O34" s="359"/>
      <c r="P34" s="359"/>
      <c r="Q34" s="359"/>
      <c r="R34" s="359"/>
      <c r="S34" s="359"/>
      <c r="T34" s="359"/>
      <c r="U34" s="359"/>
      <c r="V34" s="356"/>
      <c r="W34" s="358"/>
      <c r="X34" s="357"/>
      <c r="Y34" s="360"/>
      <c r="Z34" s="365"/>
      <c r="AA34" s="360"/>
      <c r="AD34" s="362">
        <f t="shared" si="10"/>
        <v>0</v>
      </c>
      <c r="AJ34" s="763">
        <f>SUM(AJ32:AJ33)</f>
        <v>776.4832</v>
      </c>
    </row>
    <row r="35" spans="1:31" ht="13.5" thickTop="1">
      <c r="A35" s="436" t="s">
        <v>38</v>
      </c>
      <c r="B35" s="357">
        <f>+pl!E31+B72</f>
        <v>347.7289999999999</v>
      </c>
      <c r="C35" s="357">
        <f>+pl!G31+C72-C37</f>
        <v>134.743</v>
      </c>
      <c r="D35" s="357">
        <f>+pl!H31+D72</f>
        <v>128.3569999999999</v>
      </c>
      <c r="E35" s="357">
        <f>+pl!I31-E37</f>
        <v>3.0449999999999995</v>
      </c>
      <c r="F35" s="357">
        <f>+pl!J31+F72</f>
        <v>83.84200000000001</v>
      </c>
      <c r="G35" s="359">
        <f>1.307+5.689-G36-G37-G38-G39-G40-G41-G42-G48-G49-G50-G53-G54-G55-G58</f>
        <v>5.996</v>
      </c>
      <c r="H35" s="359">
        <f>5.098-H36-H37-H38-H39-H40-H41-H42-H48-H49-H50-H53-H54-H55-H58</f>
        <v>4.598</v>
      </c>
      <c r="I35" s="357">
        <f>+pl!M31</f>
        <v>4.614999999999998</v>
      </c>
      <c r="J35" s="359">
        <f>2.867-J36-J37-J38-J39-J40-J41-J42-J48-J49-J50-J53-J54-J55-J58</f>
        <v>2.367</v>
      </c>
      <c r="K35" s="357">
        <f>+pl!O31+K72</f>
        <v>2530.429000000002</v>
      </c>
      <c r="L35" s="357">
        <f>+pl!P31+L72</f>
        <v>692.4000000000001</v>
      </c>
      <c r="M35" s="359">
        <v>0.704</v>
      </c>
      <c r="N35" s="359">
        <f>2.187-N36-N37-N38-N39-N40-N41-N42-N48-N49-N50-N53-N54-N55-N58</f>
        <v>2.187</v>
      </c>
      <c r="O35" s="359">
        <f>4.67-O36-O37-O38-O39-O40-O41-O42-O48-O49-O50-O53-O54-O55-O58</f>
        <v>1.67</v>
      </c>
      <c r="P35" s="359">
        <f>2.109-P36-P37-P38-P39-P40-P41-P42-P48-P49-P50-P53-P54-P55-P58</f>
        <v>1.109</v>
      </c>
      <c r="Q35" s="359">
        <f>201.655-Q36-Q37-Q38-Q39-Q40-Q41-Q42-Q48-Q49-Q50-Q53-Q54-Q55-Q58</f>
        <v>200.155</v>
      </c>
      <c r="R35" s="359">
        <v>390.3</v>
      </c>
      <c r="S35" s="359">
        <v>69.221</v>
      </c>
      <c r="T35" s="359">
        <f>1.647-T36-T37-T38-T39-T40-T41-T42-T48-T49-T50-T53-T54-T55-T58</f>
        <v>1.147</v>
      </c>
      <c r="U35" s="359">
        <f>SUM(B35:T35)</f>
        <v>4604.614000000002</v>
      </c>
      <c r="V35" s="356" t="str">
        <f>+je!$A$55</f>
        <v>CJE 7</v>
      </c>
      <c r="W35" s="358"/>
      <c r="X35" s="357">
        <f>+je!O65/1000+je!O69/1000+je!O67/1000</f>
        <v>-897.053</v>
      </c>
      <c r="Y35" s="360">
        <f>+U35-W35+X35</f>
        <v>3707.5610000000024</v>
      </c>
      <c r="Z35" s="360">
        <v>-2421.41</v>
      </c>
      <c r="AA35" s="360">
        <f aca="true" t="shared" si="13" ref="AA35:AA43">+Y35-Z35</f>
        <v>6128.971000000002</v>
      </c>
      <c r="AC35" s="362">
        <v>7298.256549999998</v>
      </c>
      <c r="AD35" s="362">
        <f t="shared" si="10"/>
        <v>-3590.695549999996</v>
      </c>
      <c r="AE35" s="362">
        <f>AD35</f>
        <v>-3590.695549999996</v>
      </c>
    </row>
    <row r="36" spans="1:31" ht="12.75">
      <c r="A36" s="436" t="s">
        <v>534</v>
      </c>
      <c r="B36" s="357">
        <f>+pl!E32</f>
        <v>18</v>
      </c>
      <c r="C36" s="357">
        <f>+pl!G32</f>
        <v>-12</v>
      </c>
      <c r="D36" s="357">
        <f>+pl!H32</f>
        <v>4</v>
      </c>
      <c r="E36" s="357">
        <f>+pl!I32</f>
        <v>1.5</v>
      </c>
      <c r="F36" s="357">
        <f>+pl!J32</f>
        <v>-8.5</v>
      </c>
      <c r="G36" s="357">
        <v>1</v>
      </c>
      <c r="H36" s="357">
        <v>0.5</v>
      </c>
      <c r="I36" s="357">
        <f>+pl!M32</f>
        <v>4</v>
      </c>
      <c r="J36" s="357">
        <v>0.5</v>
      </c>
      <c r="K36" s="357">
        <f>+pl!O32</f>
        <v>15</v>
      </c>
      <c r="L36" s="357">
        <f>+pl!P32</f>
        <v>15</v>
      </c>
      <c r="M36" s="359">
        <v>0.5</v>
      </c>
      <c r="N36" s="359">
        <v>0</v>
      </c>
      <c r="O36" s="359">
        <v>3</v>
      </c>
      <c r="P36" s="359">
        <v>1</v>
      </c>
      <c r="Q36" s="359">
        <f>1500/1000</f>
        <v>1.5</v>
      </c>
      <c r="R36" s="359">
        <v>1.25</v>
      </c>
      <c r="S36" s="359">
        <v>0.675</v>
      </c>
      <c r="T36" s="359">
        <v>0.5</v>
      </c>
      <c r="U36" s="359">
        <f>SUM(B36:T36)</f>
        <v>47.425</v>
      </c>
      <c r="V36" s="356"/>
      <c r="W36" s="358"/>
      <c r="X36" s="357"/>
      <c r="Y36" s="360">
        <f>+U36-W36+X36</f>
        <v>47.425</v>
      </c>
      <c r="Z36" s="360">
        <v>53.159</v>
      </c>
      <c r="AA36" s="360">
        <f t="shared" si="13"/>
        <v>-5.734000000000002</v>
      </c>
      <c r="AC36" s="362">
        <v>49.252</v>
      </c>
      <c r="AD36" s="362">
        <f t="shared" si="10"/>
        <v>-1.8270000000000053</v>
      </c>
      <c r="AE36" s="362">
        <f aca="true" t="shared" si="14" ref="AE36:AE42">AD36</f>
        <v>-1.8270000000000053</v>
      </c>
    </row>
    <row r="37" spans="1:31" ht="12.75">
      <c r="A37" s="436" t="s">
        <v>535</v>
      </c>
      <c r="B37" s="357">
        <v>0</v>
      </c>
      <c r="C37" s="357">
        <v>0</v>
      </c>
      <c r="D37" s="357">
        <v>0</v>
      </c>
      <c r="E37" s="357">
        <v>0</v>
      </c>
      <c r="F37" s="357">
        <v>0</v>
      </c>
      <c r="G37" s="357">
        <v>0</v>
      </c>
      <c r="H37" s="357">
        <v>0</v>
      </c>
      <c r="I37" s="357">
        <v>0</v>
      </c>
      <c r="J37" s="357">
        <v>0</v>
      </c>
      <c r="K37" s="357">
        <v>0</v>
      </c>
      <c r="L37" s="357">
        <v>0</v>
      </c>
      <c r="M37" s="359">
        <v>0</v>
      </c>
      <c r="N37" s="359">
        <v>0</v>
      </c>
      <c r="O37" s="359">
        <v>0</v>
      </c>
      <c r="P37" s="359">
        <v>0</v>
      </c>
      <c r="Q37" s="359">
        <v>0</v>
      </c>
      <c r="R37" s="359">
        <v>0</v>
      </c>
      <c r="S37" s="359">
        <v>0</v>
      </c>
      <c r="T37" s="359">
        <v>0</v>
      </c>
      <c r="U37" s="359">
        <f aca="true" t="shared" si="15" ref="U37:U42">SUM(B37:T37)</f>
        <v>0</v>
      </c>
      <c r="V37" s="356"/>
      <c r="W37" s="358"/>
      <c r="X37" s="357"/>
      <c r="Y37" s="360">
        <f aca="true" t="shared" si="16" ref="Y37:Y42">+U37-W37+X37</f>
        <v>0</v>
      </c>
      <c r="Z37" s="360">
        <v>0</v>
      </c>
      <c r="AA37" s="360">
        <f t="shared" si="13"/>
        <v>0</v>
      </c>
      <c r="AC37" s="362">
        <v>0</v>
      </c>
      <c r="AD37" s="362">
        <f t="shared" si="10"/>
        <v>0</v>
      </c>
      <c r="AE37" s="362">
        <f t="shared" si="14"/>
        <v>0</v>
      </c>
    </row>
    <row r="38" spans="1:31" ht="12.75">
      <c r="A38" s="436" t="s">
        <v>536</v>
      </c>
      <c r="B38" s="357">
        <f>+pl!E33</f>
        <v>0</v>
      </c>
      <c r="C38" s="357">
        <f>+pl!G33</f>
        <v>0</v>
      </c>
      <c r="D38" s="357">
        <f>+pl!H33</f>
        <v>0</v>
      </c>
      <c r="E38" s="357">
        <f>+pl!I33</f>
        <v>0</v>
      </c>
      <c r="F38" s="357">
        <f>+pl!J33</f>
        <v>0</v>
      </c>
      <c r="G38" s="357">
        <v>0</v>
      </c>
      <c r="H38" s="357">
        <v>0</v>
      </c>
      <c r="I38" s="357">
        <f>+pl!M33</f>
        <v>0</v>
      </c>
      <c r="J38" s="357">
        <v>0</v>
      </c>
      <c r="K38" s="357">
        <f>+pl!O33</f>
        <v>1261</v>
      </c>
      <c r="L38" s="357">
        <f>+pl!P33</f>
        <v>138.608</v>
      </c>
      <c r="M38" s="359">
        <v>0</v>
      </c>
      <c r="N38" s="359">
        <v>0</v>
      </c>
      <c r="O38" s="359">
        <v>0</v>
      </c>
      <c r="P38" s="359">
        <v>0</v>
      </c>
      <c r="Q38" s="359">
        <v>0</v>
      </c>
      <c r="R38" s="359">
        <v>0</v>
      </c>
      <c r="S38" s="359">
        <v>0</v>
      </c>
      <c r="T38" s="359">
        <v>0</v>
      </c>
      <c r="U38" s="359">
        <f t="shared" si="15"/>
        <v>1399.608</v>
      </c>
      <c r="V38" s="356"/>
      <c r="W38" s="358"/>
      <c r="X38" s="357"/>
      <c r="Y38" s="360">
        <f t="shared" si="16"/>
        <v>1399.608</v>
      </c>
      <c r="Z38" s="360">
        <v>1567.8</v>
      </c>
      <c r="AA38" s="360">
        <f t="shared" si="13"/>
        <v>-168.192</v>
      </c>
      <c r="AC38" s="362">
        <v>696.6</v>
      </c>
      <c r="AD38" s="362">
        <f t="shared" si="10"/>
        <v>703.0079999999999</v>
      </c>
      <c r="AE38" s="362">
        <f t="shared" si="14"/>
        <v>703.0079999999999</v>
      </c>
    </row>
    <row r="39" spans="1:31" ht="12.75">
      <c r="A39" s="436" t="s">
        <v>537</v>
      </c>
      <c r="B39" s="357">
        <f>+pl!E34</f>
        <v>0</v>
      </c>
      <c r="C39" s="357">
        <f>+pl!G34</f>
        <v>0</v>
      </c>
      <c r="D39" s="357">
        <f>+pl!H34</f>
        <v>0</v>
      </c>
      <c r="E39" s="357">
        <f>+pl!I34</f>
        <v>0</v>
      </c>
      <c r="F39" s="357">
        <f>+pl!J34</f>
        <v>0</v>
      </c>
      <c r="G39" s="357">
        <v>0</v>
      </c>
      <c r="H39" s="357">
        <v>0</v>
      </c>
      <c r="I39" s="357">
        <f>+pl!M34</f>
        <v>0</v>
      </c>
      <c r="J39" s="357">
        <v>0</v>
      </c>
      <c r="K39" s="357">
        <f>+pl!O34</f>
        <v>363.473</v>
      </c>
      <c r="L39" s="357">
        <f>+pl!P34</f>
        <v>37.771</v>
      </c>
      <c r="M39" s="359">
        <v>0</v>
      </c>
      <c r="N39" s="359">
        <v>0</v>
      </c>
      <c r="O39" s="359">
        <v>0</v>
      </c>
      <c r="P39" s="359">
        <v>0</v>
      </c>
      <c r="Q39" s="359">
        <v>0</v>
      </c>
      <c r="R39" s="359">
        <v>0</v>
      </c>
      <c r="S39" s="359">
        <v>0</v>
      </c>
      <c r="T39" s="359">
        <v>0</v>
      </c>
      <c r="U39" s="359">
        <f t="shared" si="15"/>
        <v>401.244</v>
      </c>
      <c r="V39" s="356"/>
      <c r="W39" s="358"/>
      <c r="X39" s="357"/>
      <c r="Y39" s="360">
        <f t="shared" si="16"/>
        <v>401.244</v>
      </c>
      <c r="Z39" s="360">
        <v>332.055</v>
      </c>
      <c r="AA39" s="360">
        <f t="shared" si="13"/>
        <v>69.18900000000002</v>
      </c>
      <c r="AC39" s="362">
        <v>84.226</v>
      </c>
      <c r="AD39" s="362">
        <f t="shared" si="10"/>
        <v>317.01800000000003</v>
      </c>
      <c r="AE39" s="362">
        <f t="shared" si="14"/>
        <v>317.01800000000003</v>
      </c>
    </row>
    <row r="40" spans="1:31" ht="12.75">
      <c r="A40" s="436" t="s">
        <v>538</v>
      </c>
      <c r="B40" s="357">
        <f>+pl!E35</f>
        <v>287.347</v>
      </c>
      <c r="C40" s="357">
        <f>+pl!G35</f>
        <v>0</v>
      </c>
      <c r="D40" s="357">
        <f>+pl!H35</f>
        <v>129.489</v>
      </c>
      <c r="E40" s="357">
        <f>+pl!I35</f>
        <v>0</v>
      </c>
      <c r="F40" s="357">
        <f>+pl!J35</f>
        <v>0</v>
      </c>
      <c r="G40" s="357">
        <v>0</v>
      </c>
      <c r="H40" s="357">
        <v>0</v>
      </c>
      <c r="I40" s="357">
        <f>+pl!M35</f>
        <v>0</v>
      </c>
      <c r="J40" s="357">
        <v>0</v>
      </c>
      <c r="K40" s="357">
        <f>+pl!O35</f>
        <v>6493.302000000001</v>
      </c>
      <c r="L40" s="357">
        <f>+pl!P35</f>
        <v>737.665</v>
      </c>
      <c r="M40" s="359">
        <v>0</v>
      </c>
      <c r="N40" s="359">
        <v>0</v>
      </c>
      <c r="O40" s="359">
        <v>0</v>
      </c>
      <c r="P40" s="359">
        <v>0</v>
      </c>
      <c r="Q40" s="359">
        <v>0</v>
      </c>
      <c r="R40" s="359">
        <v>198.236</v>
      </c>
      <c r="S40" s="359">
        <v>0</v>
      </c>
      <c r="T40" s="359">
        <v>0</v>
      </c>
      <c r="U40" s="359">
        <f t="shared" si="15"/>
        <v>7846.039000000001</v>
      </c>
      <c r="V40" s="356"/>
      <c r="W40" s="358"/>
      <c r="X40" s="357"/>
      <c r="Y40" s="360">
        <f t="shared" si="16"/>
        <v>7846.039000000001</v>
      </c>
      <c r="Z40" s="360">
        <v>5595.443</v>
      </c>
      <c r="AA40" s="360">
        <f t="shared" si="13"/>
        <v>2250.5960000000005</v>
      </c>
      <c r="AC40" s="362">
        <v>3470.6022</v>
      </c>
      <c r="AD40" s="362">
        <f t="shared" si="10"/>
        <v>4375.436800000001</v>
      </c>
      <c r="AE40" s="362">
        <f t="shared" si="14"/>
        <v>4375.436800000001</v>
      </c>
    </row>
    <row r="41" spans="1:31" ht="12.75">
      <c r="A41" s="436" t="s">
        <v>539</v>
      </c>
      <c r="B41" s="357">
        <f>+pl!E36</f>
        <v>72</v>
      </c>
      <c r="C41" s="357">
        <f>+pl!G36</f>
        <v>0</v>
      </c>
      <c r="D41" s="357">
        <f>+pl!H36</f>
        <v>0</v>
      </c>
      <c r="E41" s="357">
        <f>+pl!I36</f>
        <v>0</v>
      </c>
      <c r="F41" s="357">
        <f>+pl!J36</f>
        <v>0</v>
      </c>
      <c r="G41" s="357">
        <v>0</v>
      </c>
      <c r="H41" s="357">
        <v>0</v>
      </c>
      <c r="I41" s="357">
        <v>0</v>
      </c>
      <c r="J41" s="357">
        <v>0</v>
      </c>
      <c r="K41" s="357">
        <f>+pl!O36</f>
        <v>60</v>
      </c>
      <c r="L41" s="357">
        <f>+pl!P36</f>
        <v>0</v>
      </c>
      <c r="M41" s="359">
        <v>0</v>
      </c>
      <c r="N41" s="359">
        <v>0</v>
      </c>
      <c r="O41" s="359">
        <v>0</v>
      </c>
      <c r="P41" s="359">
        <v>0</v>
      </c>
      <c r="Q41" s="359">
        <v>0</v>
      </c>
      <c r="R41" s="359">
        <v>0</v>
      </c>
      <c r="S41" s="359">
        <v>0</v>
      </c>
      <c r="T41" s="359">
        <v>0</v>
      </c>
      <c r="U41" s="359">
        <f t="shared" si="15"/>
        <v>132</v>
      </c>
      <c r="V41" s="356"/>
      <c r="W41" s="358"/>
      <c r="X41" s="357"/>
      <c r="Y41" s="360">
        <f t="shared" si="16"/>
        <v>132</v>
      </c>
      <c r="Z41" s="360">
        <v>99</v>
      </c>
      <c r="AA41" s="360">
        <f t="shared" si="13"/>
        <v>33</v>
      </c>
      <c r="AC41" s="362">
        <v>54</v>
      </c>
      <c r="AD41" s="362">
        <f t="shared" si="10"/>
        <v>78</v>
      </c>
      <c r="AE41" s="362">
        <f t="shared" si="14"/>
        <v>78</v>
      </c>
    </row>
    <row r="42" spans="1:31" ht="12.75">
      <c r="A42" s="436" t="s">
        <v>540</v>
      </c>
      <c r="B42" s="357">
        <f>+pl!E37</f>
        <v>0</v>
      </c>
      <c r="C42" s="357">
        <f>+pl!G37</f>
        <v>0</v>
      </c>
      <c r="D42" s="357">
        <f>+pl!H37</f>
        <v>0</v>
      </c>
      <c r="E42" s="357">
        <f>+pl!I37</f>
        <v>0</v>
      </c>
      <c r="F42" s="357">
        <f>+pl!J37</f>
        <v>0</v>
      </c>
      <c r="G42" s="357">
        <v>0</v>
      </c>
      <c r="H42" s="357">
        <v>0</v>
      </c>
      <c r="I42" s="357">
        <v>0</v>
      </c>
      <c r="J42" s="357">
        <v>0</v>
      </c>
      <c r="K42" s="357">
        <f>+pl!O37</f>
        <v>0</v>
      </c>
      <c r="L42" s="357">
        <f>+pl!P37</f>
        <v>0</v>
      </c>
      <c r="M42" s="359">
        <v>0</v>
      </c>
      <c r="N42" s="359">
        <v>0</v>
      </c>
      <c r="O42" s="359">
        <v>0</v>
      </c>
      <c r="P42" s="359">
        <v>0</v>
      </c>
      <c r="Q42" s="359">
        <v>0</v>
      </c>
      <c r="R42" s="359">
        <v>51.038</v>
      </c>
      <c r="S42" s="359">
        <v>0</v>
      </c>
      <c r="T42" s="359">
        <v>0</v>
      </c>
      <c r="U42" s="359">
        <f t="shared" si="15"/>
        <v>51.038</v>
      </c>
      <c r="V42" s="356"/>
      <c r="W42" s="358"/>
      <c r="X42" s="357"/>
      <c r="Y42" s="360">
        <f t="shared" si="16"/>
        <v>51.038</v>
      </c>
      <c r="Z42" s="360">
        <v>51.038</v>
      </c>
      <c r="AA42" s="360">
        <f t="shared" si="13"/>
        <v>0</v>
      </c>
      <c r="AC42" s="362">
        <v>28.61473</v>
      </c>
      <c r="AD42" s="362">
        <f t="shared" si="10"/>
        <v>22.423269999999995</v>
      </c>
      <c r="AE42" s="362">
        <f t="shared" si="14"/>
        <v>22.423269999999995</v>
      </c>
    </row>
    <row r="43" spans="1:30" ht="12.75">
      <c r="A43" s="732"/>
      <c r="B43" s="357"/>
      <c r="C43" s="357"/>
      <c r="D43" s="357"/>
      <c r="E43" s="357"/>
      <c r="F43" s="357"/>
      <c r="G43" s="357"/>
      <c r="H43" s="357"/>
      <c r="I43" s="357"/>
      <c r="J43" s="357"/>
      <c r="K43" s="357"/>
      <c r="L43" s="357"/>
      <c r="M43" s="359"/>
      <c r="N43" s="359"/>
      <c r="O43" s="359"/>
      <c r="P43" s="359"/>
      <c r="Q43" s="359"/>
      <c r="R43" s="359"/>
      <c r="S43" s="359"/>
      <c r="T43" s="359"/>
      <c r="U43" s="359"/>
      <c r="V43" s="356"/>
      <c r="W43" s="358"/>
      <c r="X43" s="357"/>
      <c r="Y43" s="360"/>
      <c r="Z43" s="360"/>
      <c r="AA43" s="360">
        <f t="shared" si="13"/>
        <v>0</v>
      </c>
      <c r="AD43" s="362">
        <f t="shared" si="10"/>
        <v>0</v>
      </c>
    </row>
    <row r="44" spans="1:30" s="886" customFormat="1" ht="12.75">
      <c r="A44" s="887"/>
      <c r="B44" s="888">
        <f>SUM(B35:B43)</f>
        <v>725.0759999999999</v>
      </c>
      <c r="C44" s="888">
        <f aca="true" t="shared" si="17" ref="C44:J44">SUM(C35:C43)</f>
        <v>122.743</v>
      </c>
      <c r="D44" s="888">
        <f t="shared" si="17"/>
        <v>261.8459999999999</v>
      </c>
      <c r="E44" s="888">
        <f t="shared" si="17"/>
        <v>4.545</v>
      </c>
      <c r="F44" s="888">
        <f t="shared" si="17"/>
        <v>75.34200000000001</v>
      </c>
      <c r="G44" s="888">
        <f t="shared" si="17"/>
        <v>6.996</v>
      </c>
      <c r="H44" s="888">
        <f t="shared" si="17"/>
        <v>5.098</v>
      </c>
      <c r="I44" s="888">
        <f t="shared" si="17"/>
        <v>8.614999999999998</v>
      </c>
      <c r="J44" s="888">
        <f t="shared" si="17"/>
        <v>2.867</v>
      </c>
      <c r="K44" s="888">
        <f aca="true" t="shared" si="18" ref="K44:T44">SUM(K35:K43)</f>
        <v>10723.204000000002</v>
      </c>
      <c r="L44" s="888">
        <f t="shared" si="18"/>
        <v>1621.444</v>
      </c>
      <c r="M44" s="888">
        <f t="shared" si="18"/>
        <v>1.204</v>
      </c>
      <c r="N44" s="888">
        <f t="shared" si="18"/>
        <v>2.187</v>
      </c>
      <c r="O44" s="888">
        <f t="shared" si="18"/>
        <v>4.67</v>
      </c>
      <c r="P44" s="888">
        <f t="shared" si="18"/>
        <v>2.109</v>
      </c>
      <c r="Q44" s="888">
        <f t="shared" si="18"/>
        <v>201.655</v>
      </c>
      <c r="R44" s="888">
        <f>SUM(R35:R43)</f>
        <v>640.8240000000001</v>
      </c>
      <c r="S44" s="888">
        <f>SUM(S35:S43)</f>
        <v>69.896</v>
      </c>
      <c r="T44" s="888">
        <f t="shared" si="18"/>
        <v>1.647</v>
      </c>
      <c r="U44" s="889">
        <f>SUM(U35:U43)</f>
        <v>14481.968000000004</v>
      </c>
      <c r="V44" s="884"/>
      <c r="W44" s="885"/>
      <c r="X44" s="888">
        <f>SUM(X35:X43)</f>
        <v>-897.053</v>
      </c>
      <c r="Y44" s="881">
        <f>U44+X44</f>
        <v>13584.915000000005</v>
      </c>
      <c r="Z44" s="881">
        <f>SUM(Z35:Z42)</f>
        <v>5277.085</v>
      </c>
      <c r="AA44" s="881">
        <f>+Y44-Z44</f>
        <v>8307.830000000005</v>
      </c>
      <c r="AB44" s="886">
        <f>SUM(AA35:AA43)</f>
        <v>8307.830000000002</v>
      </c>
      <c r="AC44" s="886">
        <v>11681.55148</v>
      </c>
      <c r="AD44" s="886">
        <f t="shared" si="10"/>
        <v>1903.3635200000044</v>
      </c>
    </row>
    <row r="45" spans="1:30" ht="12.75">
      <c r="A45" s="436"/>
      <c r="B45" s="357"/>
      <c r="C45" s="357"/>
      <c r="D45" s="357"/>
      <c r="E45" s="357"/>
      <c r="F45" s="357"/>
      <c r="G45" s="357"/>
      <c r="H45" s="357"/>
      <c r="I45" s="357"/>
      <c r="J45" s="357"/>
      <c r="K45" s="357"/>
      <c r="L45" s="357"/>
      <c r="M45" s="357"/>
      <c r="N45" s="357"/>
      <c r="O45" s="357"/>
      <c r="P45" s="357"/>
      <c r="Q45" s="359"/>
      <c r="R45" s="359"/>
      <c r="S45" s="359"/>
      <c r="T45" s="359"/>
      <c r="U45" s="359"/>
      <c r="V45" s="356"/>
      <c r="W45" s="358"/>
      <c r="X45" s="357"/>
      <c r="Y45" s="360"/>
      <c r="Z45" s="360"/>
      <c r="AA45" s="360"/>
      <c r="AD45" s="362">
        <f t="shared" si="10"/>
        <v>0</v>
      </c>
    </row>
    <row r="46" spans="1:30" ht="12.75">
      <c r="A46" s="436" t="s">
        <v>266</v>
      </c>
      <c r="B46" s="357">
        <f>B17+B33-B44</f>
        <v>2621.7459999999996</v>
      </c>
      <c r="C46" s="357">
        <f aca="true" t="shared" si="19" ref="C46:J46">C17+C33-C44</f>
        <v>-44.06599999999999</v>
      </c>
      <c r="D46" s="357">
        <f t="shared" si="19"/>
        <v>905.8200000000003</v>
      </c>
      <c r="E46" s="357">
        <f t="shared" si="19"/>
        <v>14.153999999999998</v>
      </c>
      <c r="F46" s="357">
        <f t="shared" si="19"/>
        <v>40.519999999999996</v>
      </c>
      <c r="G46" s="357">
        <f t="shared" si="19"/>
        <v>-6.996</v>
      </c>
      <c r="H46" s="357">
        <f t="shared" si="19"/>
        <v>-0.5729999999999995</v>
      </c>
      <c r="I46" s="357">
        <f t="shared" si="19"/>
        <v>-401.091</v>
      </c>
      <c r="J46" s="357">
        <f t="shared" si="19"/>
        <v>-2.867</v>
      </c>
      <c r="K46" s="357">
        <f>K17+K33-K44</f>
        <v>23176.37</v>
      </c>
      <c r="L46" s="357">
        <f aca="true" t="shared" si="20" ref="L46:Q46">L17+L33-L44</f>
        <v>2357.6290000000067</v>
      </c>
      <c r="M46" s="357">
        <f>M17+M33-M44</f>
        <v>-1.204</v>
      </c>
      <c r="N46" s="357">
        <f t="shared" si="20"/>
        <v>-0.8899999999999999</v>
      </c>
      <c r="O46" s="357">
        <f t="shared" si="20"/>
        <v>65.54899999999999</v>
      </c>
      <c r="P46" s="357">
        <f t="shared" si="20"/>
        <v>-2.109</v>
      </c>
      <c r="Q46" s="357">
        <f t="shared" si="20"/>
        <v>-192.455</v>
      </c>
      <c r="R46" s="357">
        <f>R17+R33-R44</f>
        <v>115.59999999999991</v>
      </c>
      <c r="S46" s="357">
        <f>S17+S33-S44</f>
        <v>-4.9140000000000015</v>
      </c>
      <c r="T46" s="357">
        <f>T17+T33-T44</f>
        <v>-1.647</v>
      </c>
      <c r="U46" s="359">
        <f>U17+U33-U44</f>
        <v>28638.57599999996</v>
      </c>
      <c r="V46" s="356"/>
      <c r="W46" s="358"/>
      <c r="X46" s="357"/>
      <c r="Y46" s="360">
        <f>+Y17+Y33-Y44</f>
        <v>25931.88819999996</v>
      </c>
      <c r="Z46" s="360">
        <f>+Z17+Z33-Z44</f>
        <v>21327.796999999977</v>
      </c>
      <c r="AA46" s="360">
        <f>+Y46-Z46</f>
        <v>4604.091199999984</v>
      </c>
      <c r="AB46" s="362">
        <f>+AB17+AB33-AB44</f>
        <v>4604.091199999986</v>
      </c>
      <c r="AC46" s="362">
        <v>13057.390479999984</v>
      </c>
      <c r="AD46" s="362">
        <f t="shared" si="10"/>
        <v>12874.497719999978</v>
      </c>
    </row>
    <row r="47" spans="1:30" ht="12.75">
      <c r="A47" s="436" t="s">
        <v>542</v>
      </c>
      <c r="B47" s="357"/>
      <c r="C47" s="357"/>
      <c r="D47" s="357"/>
      <c r="E47" s="357"/>
      <c r="F47" s="357"/>
      <c r="G47" s="357"/>
      <c r="H47" s="357"/>
      <c r="I47" s="357"/>
      <c r="J47" s="357"/>
      <c r="K47" s="357"/>
      <c r="L47" s="357"/>
      <c r="M47" s="359"/>
      <c r="N47" s="359"/>
      <c r="O47" s="359"/>
      <c r="P47" s="359"/>
      <c r="Q47" s="359"/>
      <c r="R47" s="359"/>
      <c r="S47" s="359"/>
      <c r="T47" s="359"/>
      <c r="U47" s="359"/>
      <c r="V47" s="356"/>
      <c r="W47" s="358"/>
      <c r="X47" s="357"/>
      <c r="Y47" s="360"/>
      <c r="Z47" s="360"/>
      <c r="AA47" s="360"/>
      <c r="AD47" s="362">
        <f t="shared" si="10"/>
        <v>0</v>
      </c>
    </row>
    <row r="48" spans="1:32" ht="12.75">
      <c r="A48" s="436" t="s">
        <v>543</v>
      </c>
      <c r="B48" s="357">
        <f>+pl!E41</f>
        <v>141.40200000000002</v>
      </c>
      <c r="C48" s="357">
        <f>+pl!G41</f>
        <v>0</v>
      </c>
      <c r="D48" s="357">
        <f>+pl!H41</f>
        <v>0</v>
      </c>
      <c r="E48" s="357">
        <f>+pl!I41</f>
        <v>0</v>
      </c>
      <c r="F48" s="357">
        <f>+pl!J41</f>
        <v>0</v>
      </c>
      <c r="G48" s="357">
        <v>0</v>
      </c>
      <c r="H48" s="357">
        <v>0</v>
      </c>
      <c r="I48" s="357">
        <f>+pl!M41</f>
        <v>0</v>
      </c>
      <c r="J48" s="357">
        <v>0</v>
      </c>
      <c r="K48" s="357">
        <f>+pl!O41</f>
        <v>74.577</v>
      </c>
      <c r="L48" s="357">
        <f>+pl!P41</f>
        <v>0</v>
      </c>
      <c r="M48" s="359">
        <v>0</v>
      </c>
      <c r="N48" s="359">
        <v>0</v>
      </c>
      <c r="O48" s="359">
        <v>0</v>
      </c>
      <c r="P48" s="359">
        <v>0</v>
      </c>
      <c r="Q48" s="359">
        <v>0</v>
      </c>
      <c r="R48" s="359">
        <v>0</v>
      </c>
      <c r="S48" s="359">
        <v>0</v>
      </c>
      <c r="T48" s="359">
        <v>0</v>
      </c>
      <c r="U48" s="359">
        <f>SUM(B48:T48)</f>
        <v>215.979</v>
      </c>
      <c r="V48" s="356"/>
      <c r="W48" s="358"/>
      <c r="X48" s="357"/>
      <c r="Y48" s="360">
        <f aca="true" t="shared" si="21" ref="Y48:Y55">+U48-W48+X48</f>
        <v>215.979</v>
      </c>
      <c r="Z48" s="360">
        <v>164.531</v>
      </c>
      <c r="AA48" s="360">
        <f aca="true" t="shared" si="22" ref="AA48:AA55">+Y48-Z48</f>
        <v>51.44800000000001</v>
      </c>
      <c r="AC48" s="362">
        <v>290.2763</v>
      </c>
      <c r="AD48" s="362">
        <f t="shared" si="10"/>
        <v>-74.29729999999998</v>
      </c>
      <c r="AF48" s="362">
        <f>AD48</f>
        <v>-74.29729999999998</v>
      </c>
    </row>
    <row r="49" spans="1:32" ht="12.75">
      <c r="A49" s="436" t="s">
        <v>1212</v>
      </c>
      <c r="B49" s="357">
        <f>+pl!E42</f>
        <v>525.448</v>
      </c>
      <c r="C49" s="357">
        <f>+pl!G42</f>
        <v>0</v>
      </c>
      <c r="D49" s="357">
        <f>+pl!H42</f>
        <v>236.422</v>
      </c>
      <c r="E49" s="357">
        <f>+pl!I42</f>
        <v>0</v>
      </c>
      <c r="F49" s="357">
        <f>+pl!J42</f>
        <v>0</v>
      </c>
      <c r="G49" s="357">
        <v>0</v>
      </c>
      <c r="H49" s="357">
        <v>0</v>
      </c>
      <c r="I49" s="357">
        <v>0</v>
      </c>
      <c r="J49" s="357">
        <v>0</v>
      </c>
      <c r="K49" s="357">
        <f>+pl!O42</f>
        <v>0</v>
      </c>
      <c r="L49" s="357">
        <f>+pl!P42</f>
        <v>0</v>
      </c>
      <c r="M49" s="359">
        <v>0</v>
      </c>
      <c r="N49" s="359">
        <v>0</v>
      </c>
      <c r="O49" s="359">
        <v>0</v>
      </c>
      <c r="P49" s="359">
        <v>0</v>
      </c>
      <c r="Q49" s="359">
        <v>0</v>
      </c>
      <c r="R49" s="359">
        <v>0</v>
      </c>
      <c r="S49" s="359">
        <v>0</v>
      </c>
      <c r="T49" s="359">
        <v>0</v>
      </c>
      <c r="U49" s="359">
        <f>SUM(B49:T49)</f>
        <v>761.87</v>
      </c>
      <c r="V49" s="356"/>
      <c r="W49" s="358"/>
      <c r="X49" s="357"/>
      <c r="Y49" s="360">
        <f t="shared" si="21"/>
        <v>761.87</v>
      </c>
      <c r="Z49" s="360">
        <v>598.463</v>
      </c>
      <c r="AA49" s="360">
        <f t="shared" si="22"/>
        <v>163.40700000000004</v>
      </c>
      <c r="AC49" s="362">
        <v>248.228</v>
      </c>
      <c r="AD49" s="362">
        <f t="shared" si="10"/>
        <v>513.642</v>
      </c>
      <c r="AF49" s="362">
        <f>AD49</f>
        <v>513.642</v>
      </c>
    </row>
    <row r="50" spans="1:32" ht="12.75">
      <c r="A50" s="436" t="s">
        <v>1213</v>
      </c>
      <c r="B50" s="357">
        <f>+pl!E43</f>
        <v>146.165</v>
      </c>
      <c r="C50" s="357">
        <f>+pl!G43</f>
        <v>0</v>
      </c>
      <c r="D50" s="357">
        <f>+pl!H43</f>
        <v>0</v>
      </c>
      <c r="E50" s="357">
        <f>+pl!I43</f>
        <v>0</v>
      </c>
      <c r="F50" s="357">
        <f>+pl!J43</f>
        <v>0</v>
      </c>
      <c r="G50" s="357">
        <v>0</v>
      </c>
      <c r="H50" s="357">
        <v>0</v>
      </c>
      <c r="I50" s="357">
        <v>0</v>
      </c>
      <c r="J50" s="357">
        <v>0</v>
      </c>
      <c r="K50" s="357">
        <f>+pl!O43</f>
        <v>0</v>
      </c>
      <c r="L50" s="357">
        <f>+pl!P43</f>
        <v>0</v>
      </c>
      <c r="M50" s="359">
        <v>0</v>
      </c>
      <c r="N50" s="359">
        <v>0</v>
      </c>
      <c r="O50" s="359">
        <v>0</v>
      </c>
      <c r="P50" s="359">
        <v>0</v>
      </c>
      <c r="Q50" s="359">
        <v>0</v>
      </c>
      <c r="R50" s="359">
        <v>0</v>
      </c>
      <c r="S50" s="359">
        <v>0</v>
      </c>
      <c r="T50" s="359">
        <v>0</v>
      </c>
      <c r="U50" s="359">
        <f>SUM(B50:T50)</f>
        <v>146.165</v>
      </c>
      <c r="V50" s="356"/>
      <c r="W50" s="358"/>
      <c r="X50" s="357"/>
      <c r="Y50" s="360">
        <f t="shared" si="21"/>
        <v>146.165</v>
      </c>
      <c r="Z50" s="360">
        <v>108.619</v>
      </c>
      <c r="AA50" s="360">
        <f t="shared" si="22"/>
        <v>37.54599999999999</v>
      </c>
      <c r="AB50" s="362">
        <f>SUM(AA48:AA50)</f>
        <v>252.40100000000004</v>
      </c>
      <c r="AC50" s="362">
        <v>48.018</v>
      </c>
      <c r="AD50" s="362">
        <f t="shared" si="10"/>
        <v>98.14699999999999</v>
      </c>
      <c r="AF50" s="362">
        <f>AD50</f>
        <v>98.14699999999999</v>
      </c>
    </row>
    <row r="51" spans="1:30" ht="12.75">
      <c r="A51" s="436"/>
      <c r="B51" s="357">
        <f aca="true" t="shared" si="23" ref="B51:J51">+B46-B48-B49-B50</f>
        <v>1808.7309999999998</v>
      </c>
      <c r="C51" s="357">
        <f t="shared" si="23"/>
        <v>-44.06599999999999</v>
      </c>
      <c r="D51" s="357">
        <f t="shared" si="23"/>
        <v>669.3980000000003</v>
      </c>
      <c r="E51" s="357">
        <f t="shared" si="23"/>
        <v>14.153999999999998</v>
      </c>
      <c r="F51" s="357">
        <f t="shared" si="23"/>
        <v>40.519999999999996</v>
      </c>
      <c r="G51" s="357">
        <f t="shared" si="23"/>
        <v>-6.996</v>
      </c>
      <c r="H51" s="357">
        <f t="shared" si="23"/>
        <v>-0.5729999999999995</v>
      </c>
      <c r="I51" s="357">
        <f t="shared" si="23"/>
        <v>-401.091</v>
      </c>
      <c r="J51" s="357">
        <f t="shared" si="23"/>
        <v>-2.867</v>
      </c>
      <c r="K51" s="357">
        <f aca="true" t="shared" si="24" ref="K51:T51">+K46-K48-K49-K50</f>
        <v>23101.792999999998</v>
      </c>
      <c r="L51" s="357">
        <f t="shared" si="24"/>
        <v>2357.6290000000067</v>
      </c>
      <c r="M51" s="357">
        <f t="shared" si="24"/>
        <v>-1.204</v>
      </c>
      <c r="N51" s="357">
        <f t="shared" si="24"/>
        <v>-0.8899999999999999</v>
      </c>
      <c r="O51" s="357">
        <f t="shared" si="24"/>
        <v>65.54899999999999</v>
      </c>
      <c r="P51" s="357">
        <f t="shared" si="24"/>
        <v>-2.109</v>
      </c>
      <c r="Q51" s="357">
        <f t="shared" si="24"/>
        <v>-192.455</v>
      </c>
      <c r="R51" s="357">
        <f t="shared" si="24"/>
        <v>115.59999999999991</v>
      </c>
      <c r="S51" s="357">
        <f t="shared" si="24"/>
        <v>-4.9140000000000015</v>
      </c>
      <c r="T51" s="357">
        <f t="shared" si="24"/>
        <v>-1.647</v>
      </c>
      <c r="U51" s="357">
        <f>+U46-U48-U49-U50</f>
        <v>27514.56199999996</v>
      </c>
      <c r="V51" s="356"/>
      <c r="W51" s="358"/>
      <c r="X51" s="357"/>
      <c r="Y51" s="360">
        <f>+Y46-Y48-Y49-Y50</f>
        <v>24807.874199999962</v>
      </c>
      <c r="Z51" s="360">
        <f>+Z46-Z48-Z49-Z50</f>
        <v>20456.18399999998</v>
      </c>
      <c r="AA51" s="360">
        <f>+Y51-Z51</f>
        <v>4351.690199999983</v>
      </c>
      <c r="AB51" s="733">
        <f>+AB46-AB50</f>
        <v>4351.690199999986</v>
      </c>
      <c r="AC51" s="362">
        <v>12470.868179999985</v>
      </c>
      <c r="AD51" s="362">
        <f t="shared" si="10"/>
        <v>12337.006019999977</v>
      </c>
    </row>
    <row r="52" spans="1:30" ht="12.75">
      <c r="A52" s="436" t="s">
        <v>542</v>
      </c>
      <c r="B52" s="357"/>
      <c r="C52" s="357"/>
      <c r="D52" s="357"/>
      <c r="E52" s="357"/>
      <c r="F52" s="357"/>
      <c r="G52" s="357"/>
      <c r="H52" s="357"/>
      <c r="I52" s="357"/>
      <c r="J52" s="357"/>
      <c r="K52" s="357"/>
      <c r="L52" s="357"/>
      <c r="M52" s="357"/>
      <c r="N52" s="359"/>
      <c r="O52" s="359"/>
      <c r="P52" s="359"/>
      <c r="Q52" s="359"/>
      <c r="R52" s="359"/>
      <c r="S52" s="359"/>
      <c r="T52" s="359"/>
      <c r="U52" s="359"/>
      <c r="V52" s="356"/>
      <c r="W52" s="358"/>
      <c r="X52" s="357"/>
      <c r="Y52" s="360"/>
      <c r="Z52" s="360"/>
      <c r="AA52" s="360"/>
      <c r="AD52" s="362">
        <f t="shared" si="10"/>
        <v>0</v>
      </c>
    </row>
    <row r="53" spans="1:30" s="886" customFormat="1" ht="12.75">
      <c r="A53" s="887" t="s">
        <v>186</v>
      </c>
      <c r="B53" s="888">
        <f>+pl!E45</f>
        <v>0</v>
      </c>
      <c r="C53" s="888">
        <f>+pl!G45</f>
        <v>0</v>
      </c>
      <c r="D53" s="888">
        <f>+pl!H45</f>
        <v>0</v>
      </c>
      <c r="E53" s="888">
        <f>+pl!I45</f>
        <v>0</v>
      </c>
      <c r="F53" s="888">
        <f>+pl!J45</f>
        <v>0</v>
      </c>
      <c r="G53" s="888">
        <v>0</v>
      </c>
      <c r="H53" s="888">
        <v>0</v>
      </c>
      <c r="I53" s="888">
        <v>0</v>
      </c>
      <c r="J53" s="888">
        <v>0</v>
      </c>
      <c r="K53" s="888">
        <f>+pl!O45</f>
        <v>0</v>
      </c>
      <c r="L53" s="888">
        <f>+pl!P45</f>
        <v>0</v>
      </c>
      <c r="M53" s="888">
        <v>0</v>
      </c>
      <c r="N53" s="889">
        <v>0</v>
      </c>
      <c r="O53" s="889">
        <v>0</v>
      </c>
      <c r="P53" s="889">
        <v>0</v>
      </c>
      <c r="Q53" s="889">
        <v>0</v>
      </c>
      <c r="R53" s="889">
        <v>0</v>
      </c>
      <c r="S53" s="889">
        <v>0</v>
      </c>
      <c r="T53" s="889">
        <v>0</v>
      </c>
      <c r="U53" s="889">
        <f>SUM(B53:T53)</f>
        <v>0</v>
      </c>
      <c r="V53" s="884"/>
      <c r="W53" s="885"/>
      <c r="X53" s="888">
        <f>-U53</f>
        <v>0</v>
      </c>
      <c r="Y53" s="881">
        <f t="shared" si="21"/>
        <v>0</v>
      </c>
      <c r="Z53" s="881">
        <v>0</v>
      </c>
      <c r="AA53" s="881">
        <f t="shared" si="22"/>
        <v>0</v>
      </c>
      <c r="AC53" s="886">
        <v>0</v>
      </c>
      <c r="AD53" s="886">
        <f t="shared" si="10"/>
        <v>0</v>
      </c>
    </row>
    <row r="54" spans="1:30" s="886" customFormat="1" ht="12.75">
      <c r="A54" s="887" t="s">
        <v>40</v>
      </c>
      <c r="B54" s="888">
        <f>+pl!E46</f>
        <v>0</v>
      </c>
      <c r="C54" s="888">
        <f>+pl!G46</f>
        <v>0</v>
      </c>
      <c r="D54" s="888">
        <f>+pl!H46</f>
        <v>0</v>
      </c>
      <c r="E54" s="888">
        <f>+pl!I46</f>
        <v>0</v>
      </c>
      <c r="F54" s="888">
        <f>+pl!J46</f>
        <v>0</v>
      </c>
      <c r="G54" s="888">
        <v>0</v>
      </c>
      <c r="H54" s="888">
        <v>0</v>
      </c>
      <c r="I54" s="888">
        <v>0</v>
      </c>
      <c r="J54" s="888">
        <v>0</v>
      </c>
      <c r="K54" s="888">
        <f>+pl!O46</f>
        <v>2000.695</v>
      </c>
      <c r="L54" s="888">
        <f>+pl!P46</f>
        <v>0</v>
      </c>
      <c r="M54" s="888">
        <v>0</v>
      </c>
      <c r="N54" s="889">
        <v>0</v>
      </c>
      <c r="O54" s="889">
        <v>0</v>
      </c>
      <c r="P54" s="889">
        <v>0</v>
      </c>
      <c r="Q54" s="889">
        <v>0</v>
      </c>
      <c r="R54" s="889">
        <v>15.2</v>
      </c>
      <c r="S54" s="889">
        <v>0</v>
      </c>
      <c r="T54" s="889">
        <v>0</v>
      </c>
      <c r="U54" s="889">
        <f>SUM(B54:T54)</f>
        <v>2015.895</v>
      </c>
      <c r="V54" s="884" t="str">
        <f>+je!$A$55</f>
        <v>CJE 7</v>
      </c>
      <c r="W54" s="885"/>
      <c r="X54" s="888">
        <f>+je!O68/1000</f>
        <v>-2015.895</v>
      </c>
      <c r="Y54" s="881">
        <f t="shared" si="21"/>
        <v>0</v>
      </c>
      <c r="Z54" s="881">
        <v>0</v>
      </c>
      <c r="AA54" s="881">
        <f t="shared" si="22"/>
        <v>0</v>
      </c>
      <c r="AC54" s="886">
        <v>0</v>
      </c>
      <c r="AD54" s="886">
        <f t="shared" si="10"/>
        <v>0</v>
      </c>
    </row>
    <row r="55" spans="1:30" s="886" customFormat="1" ht="12.75">
      <c r="A55" s="887" t="s">
        <v>544</v>
      </c>
      <c r="B55" s="888">
        <f>+pl!E47</f>
        <v>416</v>
      </c>
      <c r="C55" s="888">
        <f>+pl!G47</f>
        <v>0</v>
      </c>
      <c r="D55" s="888">
        <f>+pl!H47</f>
        <v>0</v>
      </c>
      <c r="E55" s="888">
        <f>+pl!I47</f>
        <v>0</v>
      </c>
      <c r="F55" s="888">
        <f>+pl!J47</f>
        <v>0</v>
      </c>
      <c r="G55" s="888">
        <v>0</v>
      </c>
      <c r="H55" s="888">
        <v>0</v>
      </c>
      <c r="I55" s="888">
        <v>0</v>
      </c>
      <c r="J55" s="888">
        <v>0</v>
      </c>
      <c r="K55" s="888">
        <f>+pl!O47</f>
        <v>0</v>
      </c>
      <c r="L55" s="888">
        <f>+pl!P47</f>
        <v>0</v>
      </c>
      <c r="M55" s="888">
        <v>0</v>
      </c>
      <c r="N55" s="889">
        <v>0</v>
      </c>
      <c r="O55" s="889">
        <v>0</v>
      </c>
      <c r="P55" s="889">
        <v>0</v>
      </c>
      <c r="Q55" s="889">
        <v>0</v>
      </c>
      <c r="R55" s="889">
        <v>0</v>
      </c>
      <c r="S55" s="889">
        <v>0</v>
      </c>
      <c r="T55" s="889">
        <v>0</v>
      </c>
      <c r="U55" s="889">
        <f>SUM(B55:T55)</f>
        <v>416</v>
      </c>
      <c r="V55" s="884" t="str">
        <f>+je!$A$55</f>
        <v>CJE 7</v>
      </c>
      <c r="W55" s="885"/>
      <c r="X55" s="888">
        <f>+je!O66/1000</f>
        <v>-416</v>
      </c>
      <c r="Y55" s="881">
        <f t="shared" si="21"/>
        <v>0</v>
      </c>
      <c r="Z55" s="881">
        <v>0</v>
      </c>
      <c r="AA55" s="881">
        <f t="shared" si="22"/>
        <v>0</v>
      </c>
      <c r="AB55" s="886">
        <f>SUM(AA53:AA55)</f>
        <v>0</v>
      </c>
      <c r="AC55" s="886">
        <v>0</v>
      </c>
      <c r="AD55" s="886">
        <f t="shared" si="10"/>
        <v>0</v>
      </c>
    </row>
    <row r="56" spans="1:30" ht="12.75">
      <c r="A56" s="436"/>
      <c r="B56" s="357">
        <f aca="true" t="shared" si="25" ref="B56:J56">+B51-B53-B54-B55</f>
        <v>1392.7309999999998</v>
      </c>
      <c r="C56" s="357">
        <f t="shared" si="25"/>
        <v>-44.06599999999999</v>
      </c>
      <c r="D56" s="357">
        <f t="shared" si="25"/>
        <v>669.3980000000003</v>
      </c>
      <c r="E56" s="357">
        <f t="shared" si="25"/>
        <v>14.153999999999998</v>
      </c>
      <c r="F56" s="357">
        <f t="shared" si="25"/>
        <v>40.519999999999996</v>
      </c>
      <c r="G56" s="357">
        <f t="shared" si="25"/>
        <v>-6.996</v>
      </c>
      <c r="H56" s="357">
        <f t="shared" si="25"/>
        <v>-0.5729999999999995</v>
      </c>
      <c r="I56" s="357">
        <f t="shared" si="25"/>
        <v>-401.091</v>
      </c>
      <c r="J56" s="357">
        <f t="shared" si="25"/>
        <v>-2.867</v>
      </c>
      <c r="K56" s="357">
        <f aca="true" t="shared" si="26" ref="K56:T56">+K51-K53-K54-K55</f>
        <v>21101.097999999998</v>
      </c>
      <c r="L56" s="357">
        <f t="shared" si="26"/>
        <v>2357.6290000000067</v>
      </c>
      <c r="M56" s="357">
        <f t="shared" si="26"/>
        <v>-1.204</v>
      </c>
      <c r="N56" s="357">
        <f t="shared" si="26"/>
        <v>-0.8899999999999999</v>
      </c>
      <c r="O56" s="357">
        <f t="shared" si="26"/>
        <v>65.54899999999999</v>
      </c>
      <c r="P56" s="357">
        <f t="shared" si="26"/>
        <v>-2.109</v>
      </c>
      <c r="Q56" s="357">
        <f t="shared" si="26"/>
        <v>-192.455</v>
      </c>
      <c r="R56" s="357">
        <f t="shared" si="26"/>
        <v>100.3999999999999</v>
      </c>
      <c r="S56" s="357">
        <f t="shared" si="26"/>
        <v>-4.9140000000000015</v>
      </c>
      <c r="T56" s="357">
        <f t="shared" si="26"/>
        <v>-1.647</v>
      </c>
      <c r="U56" s="357">
        <f>+U51-U53-U54-U55</f>
        <v>25082.66699999996</v>
      </c>
      <c r="V56" s="356"/>
      <c r="W56" s="358"/>
      <c r="X56" s="357"/>
      <c r="Y56" s="360">
        <f>+Y51-Y53-Y54-Y55</f>
        <v>24807.874199999962</v>
      </c>
      <c r="Z56" s="360">
        <f>+Z51-Z53-Z54-Z55</f>
        <v>20456.18399999998</v>
      </c>
      <c r="AA56" s="360">
        <f>+Y56-Z56</f>
        <v>4351.690199999983</v>
      </c>
      <c r="AB56" s="733">
        <f>+AB51-AB55</f>
        <v>4351.690199999986</v>
      </c>
      <c r="AC56" s="362">
        <v>12470.868179999985</v>
      </c>
      <c r="AD56" s="362">
        <f t="shared" si="10"/>
        <v>12337.006019999977</v>
      </c>
    </row>
    <row r="57" spans="1:30" ht="12.75">
      <c r="A57" s="436" t="s">
        <v>542</v>
      </c>
      <c r="B57" s="357"/>
      <c r="C57" s="357"/>
      <c r="D57" s="357"/>
      <c r="E57" s="357"/>
      <c r="F57" s="357"/>
      <c r="G57" s="357"/>
      <c r="H57" s="357"/>
      <c r="I57" s="357"/>
      <c r="J57" s="357"/>
      <c r="K57" s="357"/>
      <c r="L57" s="357"/>
      <c r="M57" s="359"/>
      <c r="N57" s="359"/>
      <c r="O57" s="359"/>
      <c r="P57" s="359"/>
      <c r="Q57" s="359"/>
      <c r="R57" s="359"/>
      <c r="S57" s="359"/>
      <c r="T57" s="359"/>
      <c r="U57" s="359"/>
      <c r="V57" s="356"/>
      <c r="W57" s="358"/>
      <c r="X57" s="357"/>
      <c r="Y57" s="360"/>
      <c r="Z57" s="360"/>
      <c r="AA57" s="360"/>
      <c r="AD57" s="362">
        <f t="shared" si="10"/>
        <v>0</v>
      </c>
    </row>
    <row r="58" spans="1:31" s="886" customFormat="1" ht="12.75">
      <c r="A58" s="887" t="s">
        <v>545</v>
      </c>
      <c r="B58" s="888">
        <f>+pl!E49</f>
        <v>42</v>
      </c>
      <c r="C58" s="888">
        <f>pl!G49</f>
        <v>11.523</v>
      </c>
      <c r="D58" s="888">
        <f>+pl!H49</f>
        <v>210.051</v>
      </c>
      <c r="E58" s="888">
        <f>+pl!I49</f>
        <v>0.781</v>
      </c>
      <c r="F58" s="888">
        <f>+pl!J49</f>
        <v>28.159</v>
      </c>
      <c r="G58" s="888">
        <v>0</v>
      </c>
      <c r="H58" s="888">
        <v>0</v>
      </c>
      <c r="I58" s="888">
        <f>+pl!M49</f>
        <v>25.592000000000002</v>
      </c>
      <c r="J58" s="888">
        <v>0</v>
      </c>
      <c r="K58" s="888">
        <f>+pl!O49</f>
        <v>938.7530000000006</v>
      </c>
      <c r="L58" s="888">
        <f>+pl!P49</f>
        <v>102.44499999999994</v>
      </c>
      <c r="M58" s="889">
        <v>0</v>
      </c>
      <c r="N58" s="889">
        <v>0</v>
      </c>
      <c r="O58" s="889">
        <v>0</v>
      </c>
      <c r="P58" s="889">
        <v>0</v>
      </c>
      <c r="Q58" s="889">
        <v>0</v>
      </c>
      <c r="R58" s="889">
        <v>165.137</v>
      </c>
      <c r="S58" s="889">
        <v>3.605</v>
      </c>
      <c r="T58" s="889">
        <v>0</v>
      </c>
      <c r="U58" s="889">
        <f>SUM(B58:T58)</f>
        <v>1528.0460000000005</v>
      </c>
      <c r="V58" s="884"/>
      <c r="W58" s="885"/>
      <c r="X58" s="888"/>
      <c r="Y58" s="881">
        <f>+U58-W58+X58</f>
        <v>1528.0460000000005</v>
      </c>
      <c r="Z58" s="881">
        <v>1178.31</v>
      </c>
      <c r="AA58" s="881">
        <f aca="true" t="shared" si="27" ref="AA58:AA63">+Y58-Z58</f>
        <v>349.73600000000056</v>
      </c>
      <c r="AB58" s="886">
        <f>+AA58</f>
        <v>349.73600000000056</v>
      </c>
      <c r="AC58" s="886">
        <v>2799.3310999999994</v>
      </c>
      <c r="AD58" s="886">
        <f aca="true" t="shared" si="28" ref="AD58:AD87">Y58-AC58</f>
        <v>-1271.285099999999</v>
      </c>
      <c r="AE58" s="886">
        <f>AD58</f>
        <v>-1271.285099999999</v>
      </c>
    </row>
    <row r="59" spans="1:30" ht="12.75">
      <c r="A59" s="436"/>
      <c r="B59" s="357">
        <f aca="true" t="shared" si="29" ref="B59:J59">+B56-B58</f>
        <v>1350.7309999999998</v>
      </c>
      <c r="C59" s="357">
        <f t="shared" si="29"/>
        <v>-55.588999999999984</v>
      </c>
      <c r="D59" s="357">
        <f t="shared" si="29"/>
        <v>459.34700000000026</v>
      </c>
      <c r="E59" s="357">
        <f t="shared" si="29"/>
        <v>13.372999999999998</v>
      </c>
      <c r="F59" s="357">
        <f t="shared" si="29"/>
        <v>12.360999999999997</v>
      </c>
      <c r="G59" s="357">
        <f t="shared" si="29"/>
        <v>-6.996</v>
      </c>
      <c r="H59" s="357">
        <f t="shared" si="29"/>
        <v>-0.5729999999999995</v>
      </c>
      <c r="I59" s="357">
        <f t="shared" si="29"/>
        <v>-426.683</v>
      </c>
      <c r="J59" s="357">
        <f t="shared" si="29"/>
        <v>-2.867</v>
      </c>
      <c r="K59" s="357">
        <f aca="true" t="shared" si="30" ref="K59:T59">+K56-K58</f>
        <v>20162.344999999998</v>
      </c>
      <c r="L59" s="357">
        <f t="shared" si="30"/>
        <v>2255.1840000000066</v>
      </c>
      <c r="M59" s="357">
        <f t="shared" si="30"/>
        <v>-1.204</v>
      </c>
      <c r="N59" s="357">
        <f t="shared" si="30"/>
        <v>-0.8899999999999999</v>
      </c>
      <c r="O59" s="357">
        <f t="shared" si="30"/>
        <v>65.54899999999999</v>
      </c>
      <c r="P59" s="357">
        <f t="shared" si="30"/>
        <v>-2.109</v>
      </c>
      <c r="Q59" s="357">
        <f t="shared" si="30"/>
        <v>-192.455</v>
      </c>
      <c r="R59" s="357">
        <f>+R56-R58</f>
        <v>-64.7370000000001</v>
      </c>
      <c r="S59" s="357">
        <f t="shared" si="30"/>
        <v>-8.519000000000002</v>
      </c>
      <c r="T59" s="357">
        <f t="shared" si="30"/>
        <v>-1.647</v>
      </c>
      <c r="U59" s="357">
        <f>+U56-U58</f>
        <v>23554.62099999996</v>
      </c>
      <c r="V59" s="356"/>
      <c r="W59" s="358">
        <f>SUM(W48:W58)</f>
        <v>0</v>
      </c>
      <c r="X59" s="357">
        <f>SUM(X48:X58)</f>
        <v>-2431.895</v>
      </c>
      <c r="Y59" s="360">
        <f>+Y56-Y58</f>
        <v>23279.82819999996</v>
      </c>
      <c r="Z59" s="360">
        <f>+Z56-Z58</f>
        <v>19277.873999999978</v>
      </c>
      <c r="AA59" s="360">
        <f t="shared" si="27"/>
        <v>4001.954199999982</v>
      </c>
      <c r="AB59" s="362">
        <f>+AB56-AB58</f>
        <v>4001.9541999999856</v>
      </c>
      <c r="AC59" s="362">
        <v>9671.537079999986</v>
      </c>
      <c r="AD59" s="362">
        <f t="shared" si="28"/>
        <v>13608.291119999974</v>
      </c>
    </row>
    <row r="60" spans="1:30" s="886" customFormat="1" ht="12.75">
      <c r="A60" s="887" t="s">
        <v>303</v>
      </c>
      <c r="B60" s="888">
        <v>0</v>
      </c>
      <c r="C60" s="888">
        <v>0</v>
      </c>
      <c r="D60" s="888">
        <v>0</v>
      </c>
      <c r="E60" s="888">
        <v>0</v>
      </c>
      <c r="F60" s="888">
        <v>0</v>
      </c>
      <c r="G60" s="888">
        <v>0</v>
      </c>
      <c r="H60" s="888">
        <v>0</v>
      </c>
      <c r="I60" s="888">
        <v>0</v>
      </c>
      <c r="J60" s="888">
        <v>0</v>
      </c>
      <c r="K60" s="888">
        <v>0</v>
      </c>
      <c r="L60" s="888">
        <v>0</v>
      </c>
      <c r="M60" s="888">
        <v>0</v>
      </c>
      <c r="N60" s="888">
        <v>0</v>
      </c>
      <c r="O60" s="888">
        <v>0</v>
      </c>
      <c r="P60" s="888">
        <v>0</v>
      </c>
      <c r="Q60" s="888">
        <v>0</v>
      </c>
      <c r="R60" s="888">
        <v>0</v>
      </c>
      <c r="S60" s="888">
        <v>0</v>
      </c>
      <c r="T60" s="888">
        <v>0</v>
      </c>
      <c r="U60" s="889"/>
      <c r="V60" s="884"/>
      <c r="W60" s="885">
        <f>je!O32/1000</f>
        <v>0</v>
      </c>
      <c r="X60" s="888">
        <f>je!O178/1000</f>
        <v>0</v>
      </c>
      <c r="Y60" s="881">
        <f>-X60</f>
        <v>0</v>
      </c>
      <c r="Z60" s="881">
        <v>0</v>
      </c>
      <c r="AA60" s="881">
        <f t="shared" si="27"/>
        <v>0</v>
      </c>
      <c r="AC60" s="886">
        <v>0</v>
      </c>
      <c r="AD60" s="886">
        <f t="shared" si="28"/>
        <v>0</v>
      </c>
    </row>
    <row r="61" spans="1:30" ht="12.75">
      <c r="A61" s="436" t="s">
        <v>161</v>
      </c>
      <c r="B61" s="357">
        <v>0</v>
      </c>
      <c r="C61" s="357">
        <v>0</v>
      </c>
      <c r="D61" s="357">
        <v>0</v>
      </c>
      <c r="E61" s="357">
        <v>0</v>
      </c>
      <c r="F61" s="357">
        <v>0</v>
      </c>
      <c r="G61" s="357">
        <v>0</v>
      </c>
      <c r="H61" s="357">
        <v>0</v>
      </c>
      <c r="I61" s="357">
        <v>0</v>
      </c>
      <c r="J61" s="357">
        <v>0</v>
      </c>
      <c r="K61" s="357">
        <v>0</v>
      </c>
      <c r="L61" s="357">
        <v>0</v>
      </c>
      <c r="M61" s="357">
        <v>0</v>
      </c>
      <c r="N61" s="357">
        <v>0</v>
      </c>
      <c r="O61" s="357">
        <v>0</v>
      </c>
      <c r="P61" s="357">
        <v>0</v>
      </c>
      <c r="Q61" s="357">
        <v>0</v>
      </c>
      <c r="R61" s="357">
        <v>0</v>
      </c>
      <c r="S61" s="357">
        <v>0</v>
      </c>
      <c r="T61" s="357">
        <v>0</v>
      </c>
      <c r="U61" s="359"/>
      <c r="V61" s="356" t="s">
        <v>1348</v>
      </c>
      <c r="W61" s="358"/>
      <c r="X61" s="357">
        <f>je!O39/1000+(je!O215)/1000</f>
        <v>-1280.2894999999999</v>
      </c>
      <c r="Y61" s="360">
        <f>-X61-W62</f>
        <v>1280.2894999999999</v>
      </c>
      <c r="Z61" s="360">
        <v>829.488</v>
      </c>
      <c r="AA61" s="360">
        <f t="shared" si="27"/>
        <v>450.8014999999998</v>
      </c>
      <c r="AC61" s="362">
        <v>915.5978866125</v>
      </c>
      <c r="AD61" s="362">
        <f t="shared" si="28"/>
        <v>364.69161338749984</v>
      </c>
    </row>
    <row r="62" spans="1:30" ht="12.75">
      <c r="A62" s="436"/>
      <c r="B62" s="357"/>
      <c r="C62" s="357"/>
      <c r="D62" s="357"/>
      <c r="E62" s="357"/>
      <c r="F62" s="357"/>
      <c r="G62" s="357"/>
      <c r="H62" s="357"/>
      <c r="I62" s="357"/>
      <c r="J62" s="357"/>
      <c r="K62" s="357"/>
      <c r="L62" s="357"/>
      <c r="M62" s="357"/>
      <c r="N62" s="357"/>
      <c r="O62" s="357"/>
      <c r="P62" s="357"/>
      <c r="Q62" s="357"/>
      <c r="R62" s="357"/>
      <c r="S62" s="357"/>
      <c r="T62" s="357"/>
      <c r="U62" s="359"/>
      <c r="V62" s="356"/>
      <c r="W62" s="358">
        <v>0</v>
      </c>
      <c r="X62" s="357"/>
      <c r="Y62" s="360">
        <f>SUM(Y60:Y61)</f>
        <v>1280.2894999999999</v>
      </c>
      <c r="Z62" s="360">
        <f>SUM(Z61)</f>
        <v>829.488</v>
      </c>
      <c r="AA62" s="360">
        <f t="shared" si="27"/>
        <v>450.8014999999998</v>
      </c>
      <c r="AB62" s="362">
        <f>SUM(AA60:AA61)</f>
        <v>450.8014999999998</v>
      </c>
      <c r="AC62" s="362">
        <v>915.5978866125</v>
      </c>
      <c r="AD62" s="362">
        <f t="shared" si="28"/>
        <v>364.69161338749984</v>
      </c>
    </row>
    <row r="63" spans="1:30" ht="12.75">
      <c r="A63" s="436" t="s">
        <v>546</v>
      </c>
      <c r="B63" s="357">
        <f>+B59-B60-B61</f>
        <v>1350.7309999999998</v>
      </c>
      <c r="C63" s="357">
        <f aca="true" t="shared" si="31" ref="C63:J63">+C59-C60-C61</f>
        <v>-55.588999999999984</v>
      </c>
      <c r="D63" s="357">
        <f t="shared" si="31"/>
        <v>459.34700000000026</v>
      </c>
      <c r="E63" s="357">
        <f t="shared" si="31"/>
        <v>13.372999999999998</v>
      </c>
      <c r="F63" s="357">
        <f t="shared" si="31"/>
        <v>12.360999999999997</v>
      </c>
      <c r="G63" s="357">
        <f t="shared" si="31"/>
        <v>-6.996</v>
      </c>
      <c r="H63" s="357">
        <f t="shared" si="31"/>
        <v>-0.5729999999999995</v>
      </c>
      <c r="I63" s="357">
        <f t="shared" si="31"/>
        <v>-426.683</v>
      </c>
      <c r="J63" s="357">
        <f t="shared" si="31"/>
        <v>-2.867</v>
      </c>
      <c r="K63" s="357">
        <f aca="true" t="shared" si="32" ref="K63:U63">+K59-K60-K61</f>
        <v>20162.344999999998</v>
      </c>
      <c r="L63" s="357">
        <f t="shared" si="32"/>
        <v>2255.1840000000066</v>
      </c>
      <c r="M63" s="357">
        <f t="shared" si="32"/>
        <v>-1.204</v>
      </c>
      <c r="N63" s="357">
        <f t="shared" si="32"/>
        <v>-0.8899999999999999</v>
      </c>
      <c r="O63" s="357">
        <f t="shared" si="32"/>
        <v>65.54899999999999</v>
      </c>
      <c r="P63" s="357">
        <f t="shared" si="32"/>
        <v>-2.109</v>
      </c>
      <c r="Q63" s="357">
        <f t="shared" si="32"/>
        <v>-192.455</v>
      </c>
      <c r="R63" s="357">
        <f>+R59-R60-R61</f>
        <v>-64.7370000000001</v>
      </c>
      <c r="S63" s="357">
        <f t="shared" si="32"/>
        <v>-8.519000000000002</v>
      </c>
      <c r="T63" s="357">
        <f t="shared" si="32"/>
        <v>-1.647</v>
      </c>
      <c r="U63" s="357">
        <f t="shared" si="32"/>
        <v>23554.62099999996</v>
      </c>
      <c r="V63" s="708"/>
      <c r="X63" s="357"/>
      <c r="Y63" s="360">
        <f>+Y59+Y62</f>
        <v>24560.11769999996</v>
      </c>
      <c r="Z63" s="360">
        <f>+Z59+Z61</f>
        <v>20107.36199999998</v>
      </c>
      <c r="AA63" s="360">
        <f t="shared" si="27"/>
        <v>4452.75569999998</v>
      </c>
      <c r="AB63" s="357">
        <f>+AB59+AB62</f>
        <v>4452.755699999985</v>
      </c>
      <c r="AC63" s="362">
        <v>10587.134966612486</v>
      </c>
      <c r="AD63" s="362">
        <f t="shared" si="28"/>
        <v>13972.982733387473</v>
      </c>
    </row>
    <row r="64" spans="1:30" ht="12.75">
      <c r="A64" s="436"/>
      <c r="B64" s="357"/>
      <c r="C64" s="357"/>
      <c r="D64" s="357"/>
      <c r="E64" s="357"/>
      <c r="F64" s="357"/>
      <c r="G64" s="357"/>
      <c r="H64" s="357"/>
      <c r="I64" s="357"/>
      <c r="J64" s="357"/>
      <c r="K64" s="357"/>
      <c r="L64" s="357"/>
      <c r="M64" s="359"/>
      <c r="N64" s="359"/>
      <c r="O64" s="359"/>
      <c r="P64" s="359"/>
      <c r="Q64" s="359"/>
      <c r="R64" s="359"/>
      <c r="S64" s="359"/>
      <c r="T64" s="359"/>
      <c r="U64" s="359"/>
      <c r="V64" s="356"/>
      <c r="W64" s="358"/>
      <c r="X64" s="357"/>
      <c r="Y64" s="360"/>
      <c r="Z64" s="360"/>
      <c r="AA64" s="360"/>
      <c r="AD64" s="362">
        <f t="shared" si="28"/>
        <v>0</v>
      </c>
    </row>
    <row r="65" spans="1:30" ht="12.75">
      <c r="A65" s="436" t="s">
        <v>547</v>
      </c>
      <c r="B65" s="357"/>
      <c r="C65" s="357"/>
      <c r="D65" s="357"/>
      <c r="E65" s="357"/>
      <c r="F65" s="357"/>
      <c r="G65" s="357"/>
      <c r="H65" s="357"/>
      <c r="I65" s="357"/>
      <c r="J65" s="357"/>
      <c r="K65" s="357"/>
      <c r="L65" s="357"/>
      <c r="M65" s="359"/>
      <c r="N65" s="359"/>
      <c r="O65" s="359"/>
      <c r="P65" s="359"/>
      <c r="Q65" s="359"/>
      <c r="R65" s="359"/>
      <c r="S65" s="359"/>
      <c r="T65" s="359"/>
      <c r="U65" s="359"/>
      <c r="V65" s="356"/>
      <c r="W65" s="358"/>
      <c r="X65" s="357"/>
      <c r="Y65" s="360"/>
      <c r="Z65" s="360"/>
      <c r="AA65" s="360"/>
      <c r="AD65" s="362">
        <f t="shared" si="28"/>
        <v>0</v>
      </c>
    </row>
    <row r="66" spans="1:30" ht="12.75">
      <c r="A66" s="436" t="s">
        <v>7</v>
      </c>
      <c r="B66" s="357">
        <v>0</v>
      </c>
      <c r="C66" s="357">
        <v>0</v>
      </c>
      <c r="D66" s="357">
        <v>0</v>
      </c>
      <c r="E66" s="357">
        <v>0</v>
      </c>
      <c r="F66" s="357">
        <v>0</v>
      </c>
      <c r="G66" s="357">
        <v>0</v>
      </c>
      <c r="H66" s="357">
        <v>0</v>
      </c>
      <c r="I66" s="357">
        <v>0</v>
      </c>
      <c r="J66" s="357">
        <v>0</v>
      </c>
      <c r="K66" s="357">
        <v>0</v>
      </c>
      <c r="L66" s="357">
        <v>0</v>
      </c>
      <c r="M66" s="359">
        <v>0</v>
      </c>
      <c r="N66" s="359">
        <v>0</v>
      </c>
      <c r="O66" s="359">
        <v>0</v>
      </c>
      <c r="P66" s="359">
        <v>0</v>
      </c>
      <c r="Q66" s="359">
        <v>0</v>
      </c>
      <c r="R66" s="359">
        <v>0</v>
      </c>
      <c r="S66" s="359">
        <v>0</v>
      </c>
      <c r="T66" s="359">
        <v>0</v>
      </c>
      <c r="U66" s="359">
        <f aca="true" t="shared" si="33" ref="U66:U71">SUM(B66:T66)</f>
        <v>0</v>
      </c>
      <c r="V66" s="356" t="s">
        <v>258</v>
      </c>
      <c r="W66" s="358">
        <f>je!O186/1000</f>
        <v>0</v>
      </c>
      <c r="X66" s="357"/>
      <c r="Y66" s="360">
        <f aca="true" t="shared" si="34" ref="Y66:Y71">+U66-W66+X66</f>
        <v>0</v>
      </c>
      <c r="Z66" s="360">
        <v>0</v>
      </c>
      <c r="AA66" s="360">
        <f aca="true" t="shared" si="35" ref="AA66:AA72">+Y66-Z66</f>
        <v>0</v>
      </c>
      <c r="AC66" s="362">
        <v>0</v>
      </c>
      <c r="AD66" s="362">
        <f t="shared" si="28"/>
        <v>0</v>
      </c>
    </row>
    <row r="67" spans="1:30" ht="12.75">
      <c r="A67" s="436" t="s">
        <v>197</v>
      </c>
      <c r="B67" s="357">
        <v>0</v>
      </c>
      <c r="C67" s="357">
        <v>0</v>
      </c>
      <c r="D67" s="357">
        <v>0</v>
      </c>
      <c r="E67" s="357">
        <v>0</v>
      </c>
      <c r="F67" s="357">
        <v>0</v>
      </c>
      <c r="G67" s="357">
        <v>0</v>
      </c>
      <c r="H67" s="357">
        <v>0</v>
      </c>
      <c r="I67" s="357">
        <v>0</v>
      </c>
      <c r="J67" s="357">
        <v>0</v>
      </c>
      <c r="K67" s="357">
        <v>0</v>
      </c>
      <c r="L67" s="357">
        <v>0</v>
      </c>
      <c r="M67" s="359">
        <v>0</v>
      </c>
      <c r="N67" s="359">
        <v>0</v>
      </c>
      <c r="O67" s="359">
        <v>0</v>
      </c>
      <c r="P67" s="359">
        <v>0</v>
      </c>
      <c r="Q67" s="359">
        <v>0</v>
      </c>
      <c r="R67" s="359">
        <v>0</v>
      </c>
      <c r="S67" s="359">
        <v>0</v>
      </c>
      <c r="T67" s="359">
        <v>0</v>
      </c>
      <c r="U67" s="359">
        <f t="shared" si="33"/>
        <v>0</v>
      </c>
      <c r="V67" s="356"/>
      <c r="W67" s="358"/>
      <c r="X67" s="357"/>
      <c r="Y67" s="360">
        <f t="shared" si="34"/>
        <v>0</v>
      </c>
      <c r="Z67" s="360">
        <v>0</v>
      </c>
      <c r="AA67" s="360">
        <f t="shared" si="35"/>
        <v>0</v>
      </c>
      <c r="AC67" s="362">
        <v>0</v>
      </c>
      <c r="AD67" s="362">
        <f t="shared" si="28"/>
        <v>0</v>
      </c>
    </row>
    <row r="68" spans="1:30" ht="12.75">
      <c r="A68" s="436" t="s">
        <v>966</v>
      </c>
      <c r="B68" s="357">
        <v>0</v>
      </c>
      <c r="C68" s="357">
        <v>0</v>
      </c>
      <c r="D68" s="357">
        <v>0</v>
      </c>
      <c r="E68" s="357">
        <v>0</v>
      </c>
      <c r="F68" s="357">
        <v>0</v>
      </c>
      <c r="G68" s="357">
        <v>0</v>
      </c>
      <c r="H68" s="357">
        <v>0</v>
      </c>
      <c r="I68" s="357">
        <v>0</v>
      </c>
      <c r="J68" s="357">
        <v>0</v>
      </c>
      <c r="K68" s="357">
        <v>0</v>
      </c>
      <c r="L68" s="357">
        <v>0</v>
      </c>
      <c r="M68" s="359">
        <v>0</v>
      </c>
      <c r="N68" s="359">
        <v>0</v>
      </c>
      <c r="O68" s="359">
        <v>0</v>
      </c>
      <c r="P68" s="359">
        <v>0</v>
      </c>
      <c r="Q68" s="359">
        <v>0</v>
      </c>
      <c r="R68" s="359">
        <v>0</v>
      </c>
      <c r="S68" s="359">
        <v>0</v>
      </c>
      <c r="T68" s="359">
        <v>0</v>
      </c>
      <c r="U68" s="359">
        <f t="shared" si="33"/>
        <v>0</v>
      </c>
      <c r="V68" s="356"/>
      <c r="W68" s="358"/>
      <c r="X68" s="357"/>
      <c r="Y68" s="360">
        <f t="shared" si="34"/>
        <v>0</v>
      </c>
      <c r="Z68" s="360">
        <v>0</v>
      </c>
      <c r="AA68" s="360">
        <f t="shared" si="35"/>
        <v>0</v>
      </c>
      <c r="AC68" s="362">
        <v>0</v>
      </c>
      <c r="AD68" s="362">
        <f t="shared" si="28"/>
        <v>0</v>
      </c>
    </row>
    <row r="69" spans="1:30" ht="12.75">
      <c r="A69" s="436" t="s">
        <v>1635</v>
      </c>
      <c r="B69" s="357">
        <v>0</v>
      </c>
      <c r="C69" s="357">
        <v>0</v>
      </c>
      <c r="D69" s="357">
        <v>0</v>
      </c>
      <c r="E69" s="357">
        <v>0</v>
      </c>
      <c r="F69" s="357">
        <v>0</v>
      </c>
      <c r="G69" s="357">
        <v>0</v>
      </c>
      <c r="H69" s="357">
        <v>0</v>
      </c>
      <c r="I69" s="357">
        <v>0</v>
      </c>
      <c r="J69" s="357">
        <v>0</v>
      </c>
      <c r="K69" s="357">
        <v>0</v>
      </c>
      <c r="L69" s="357">
        <v>0</v>
      </c>
      <c r="M69" s="359">
        <v>0</v>
      </c>
      <c r="N69" s="359">
        <v>0</v>
      </c>
      <c r="O69" s="359">
        <v>0</v>
      </c>
      <c r="P69" s="359">
        <v>0</v>
      </c>
      <c r="Q69" s="359">
        <v>0</v>
      </c>
      <c r="R69" s="359">
        <v>0</v>
      </c>
      <c r="S69" s="359">
        <v>0</v>
      </c>
      <c r="T69" s="359">
        <v>0</v>
      </c>
      <c r="U69" s="359">
        <f t="shared" si="33"/>
        <v>0</v>
      </c>
      <c r="V69" s="356"/>
      <c r="W69" s="358"/>
      <c r="X69" s="357"/>
      <c r="Y69" s="360">
        <f t="shared" si="34"/>
        <v>0</v>
      </c>
      <c r="Z69" s="360">
        <v>0</v>
      </c>
      <c r="AA69" s="360">
        <f t="shared" si="35"/>
        <v>0</v>
      </c>
      <c r="AC69" s="362">
        <v>0</v>
      </c>
      <c r="AD69" s="362">
        <f t="shared" si="28"/>
        <v>0</v>
      </c>
    </row>
    <row r="70" spans="1:30" ht="12.75">
      <c r="A70" s="436" t="s">
        <v>548</v>
      </c>
      <c r="B70" s="357">
        <v>0</v>
      </c>
      <c r="C70" s="357">
        <v>0</v>
      </c>
      <c r="D70" s="357">
        <v>0</v>
      </c>
      <c r="E70" s="357">
        <v>0</v>
      </c>
      <c r="F70" s="357">
        <v>0</v>
      </c>
      <c r="G70" s="357">
        <v>0</v>
      </c>
      <c r="H70" s="357">
        <v>0</v>
      </c>
      <c r="I70" s="357">
        <v>0</v>
      </c>
      <c r="J70" s="357">
        <v>0</v>
      </c>
      <c r="K70" s="357">
        <v>0</v>
      </c>
      <c r="L70" s="357">
        <v>0</v>
      </c>
      <c r="M70" s="359">
        <v>0</v>
      </c>
      <c r="N70" s="359">
        <v>0</v>
      </c>
      <c r="O70" s="359">
        <v>0</v>
      </c>
      <c r="P70" s="359">
        <v>0</v>
      </c>
      <c r="Q70" s="359">
        <v>0</v>
      </c>
      <c r="R70" s="359">
        <v>0</v>
      </c>
      <c r="S70" s="359">
        <v>0</v>
      </c>
      <c r="T70" s="359">
        <v>0</v>
      </c>
      <c r="U70" s="359">
        <f t="shared" si="33"/>
        <v>0</v>
      </c>
      <c r="V70" s="356" t="s">
        <v>277</v>
      </c>
      <c r="W70" s="358">
        <f>je!O197/1000</f>
        <v>0</v>
      </c>
      <c r="X70" s="357">
        <f>-je!O182/1000</f>
        <v>0</v>
      </c>
      <c r="Y70" s="360">
        <f t="shared" si="34"/>
        <v>0</v>
      </c>
      <c r="Z70" s="360">
        <v>0</v>
      </c>
      <c r="AA70" s="360">
        <f t="shared" si="35"/>
        <v>0</v>
      </c>
      <c r="AC70" s="362">
        <v>0</v>
      </c>
      <c r="AD70" s="362">
        <f t="shared" si="28"/>
        <v>0</v>
      </c>
    </row>
    <row r="71" spans="1:30" ht="12.75">
      <c r="A71" s="436" t="s">
        <v>205</v>
      </c>
      <c r="B71" s="357">
        <v>0</v>
      </c>
      <c r="C71" s="357">
        <v>0</v>
      </c>
      <c r="D71" s="357">
        <v>0</v>
      </c>
      <c r="E71" s="357">
        <v>0</v>
      </c>
      <c r="F71" s="357">
        <v>0</v>
      </c>
      <c r="G71" s="357">
        <v>0</v>
      </c>
      <c r="H71" s="357">
        <v>0</v>
      </c>
      <c r="I71" s="357">
        <v>0</v>
      </c>
      <c r="J71" s="357">
        <v>0</v>
      </c>
      <c r="K71" s="357">
        <v>0</v>
      </c>
      <c r="L71" s="357">
        <v>0</v>
      </c>
      <c r="M71" s="359">
        <v>0</v>
      </c>
      <c r="N71" s="359">
        <v>0</v>
      </c>
      <c r="O71" s="359">
        <v>0</v>
      </c>
      <c r="P71" s="359">
        <v>0</v>
      </c>
      <c r="Q71" s="359">
        <v>0</v>
      </c>
      <c r="R71" s="359">
        <v>0</v>
      </c>
      <c r="S71" s="359">
        <v>0</v>
      </c>
      <c r="T71" s="359">
        <v>0</v>
      </c>
      <c r="U71" s="359">
        <f t="shared" si="33"/>
        <v>0</v>
      </c>
      <c r="V71" s="356"/>
      <c r="W71" s="358"/>
      <c r="X71" s="357"/>
      <c r="Y71" s="360">
        <f t="shared" si="34"/>
        <v>0</v>
      </c>
      <c r="Z71" s="360">
        <v>0</v>
      </c>
      <c r="AA71" s="360">
        <f t="shared" si="35"/>
        <v>0</v>
      </c>
      <c r="AC71" s="362">
        <v>0</v>
      </c>
      <c r="AD71" s="362">
        <f t="shared" si="28"/>
        <v>0</v>
      </c>
    </row>
    <row r="72" spans="1:30" s="886" customFormat="1" ht="12.75">
      <c r="A72" s="887" t="s">
        <v>549</v>
      </c>
      <c r="B72" s="888">
        <f aca="true" t="shared" si="36" ref="B72:M72">SUM(B66:B71)</f>
        <v>0</v>
      </c>
      <c r="C72" s="888">
        <f t="shared" si="36"/>
        <v>0</v>
      </c>
      <c r="D72" s="888">
        <f t="shared" si="36"/>
        <v>0</v>
      </c>
      <c r="E72" s="888">
        <f t="shared" si="36"/>
        <v>0</v>
      </c>
      <c r="F72" s="888">
        <f t="shared" si="36"/>
        <v>0</v>
      </c>
      <c r="G72" s="888">
        <f t="shared" si="36"/>
        <v>0</v>
      </c>
      <c r="H72" s="888">
        <f t="shared" si="36"/>
        <v>0</v>
      </c>
      <c r="I72" s="888">
        <f t="shared" si="36"/>
        <v>0</v>
      </c>
      <c r="J72" s="888">
        <f t="shared" si="36"/>
        <v>0</v>
      </c>
      <c r="K72" s="888">
        <f t="shared" si="36"/>
        <v>0</v>
      </c>
      <c r="L72" s="888">
        <f t="shared" si="36"/>
        <v>0</v>
      </c>
      <c r="M72" s="888">
        <f t="shared" si="36"/>
        <v>0</v>
      </c>
      <c r="N72" s="888">
        <f aca="true" t="shared" si="37" ref="N72:T72">SUM(N66:N71)</f>
        <v>0</v>
      </c>
      <c r="O72" s="888">
        <f t="shared" si="37"/>
        <v>0</v>
      </c>
      <c r="P72" s="888">
        <f t="shared" si="37"/>
        <v>0</v>
      </c>
      <c r="Q72" s="888">
        <f t="shared" si="37"/>
        <v>0</v>
      </c>
      <c r="R72" s="888">
        <f t="shared" si="37"/>
        <v>0</v>
      </c>
      <c r="S72" s="888">
        <f t="shared" si="37"/>
        <v>0</v>
      </c>
      <c r="T72" s="888">
        <f t="shared" si="37"/>
        <v>0</v>
      </c>
      <c r="U72" s="889">
        <f>SUM(U66:U71)</f>
        <v>0</v>
      </c>
      <c r="V72" s="884"/>
      <c r="W72" s="885"/>
      <c r="X72" s="888"/>
      <c r="Y72" s="881">
        <f>SUM(Y66:Y71)</f>
        <v>0</v>
      </c>
      <c r="Z72" s="881">
        <v>0</v>
      </c>
      <c r="AA72" s="881">
        <f t="shared" si="35"/>
        <v>0</v>
      </c>
      <c r="AB72" s="886">
        <f>SUM(AA66:AA71)</f>
        <v>0</v>
      </c>
      <c r="AC72" s="886">
        <v>0</v>
      </c>
      <c r="AD72" s="886">
        <f t="shared" si="28"/>
        <v>0</v>
      </c>
    </row>
    <row r="73" spans="1:30" ht="12.75">
      <c r="A73" s="436"/>
      <c r="B73" s="357"/>
      <c r="C73" s="357"/>
      <c r="D73" s="357"/>
      <c r="E73" s="357"/>
      <c r="F73" s="357"/>
      <c r="G73" s="357"/>
      <c r="H73" s="357"/>
      <c r="I73" s="357"/>
      <c r="J73" s="357"/>
      <c r="K73" s="357"/>
      <c r="L73" s="357"/>
      <c r="M73" s="357"/>
      <c r="N73" s="357"/>
      <c r="O73" s="357"/>
      <c r="P73" s="357"/>
      <c r="Q73" s="357"/>
      <c r="R73" s="357"/>
      <c r="S73" s="357"/>
      <c r="T73" s="357"/>
      <c r="U73" s="359"/>
      <c r="V73" s="356"/>
      <c r="W73" s="358"/>
      <c r="X73" s="357"/>
      <c r="Y73" s="360"/>
      <c r="Z73" s="360"/>
      <c r="AA73" s="360"/>
      <c r="AD73" s="362">
        <f t="shared" si="28"/>
        <v>0</v>
      </c>
    </row>
    <row r="74" spans="1:30" ht="12.75">
      <c r="A74" s="436" t="s">
        <v>550</v>
      </c>
      <c r="B74" s="357">
        <f>B63+B72</f>
        <v>1350.7309999999998</v>
      </c>
      <c r="C74" s="357">
        <f aca="true" t="shared" si="38" ref="C74:J74">C63+C72</f>
        <v>-55.588999999999984</v>
      </c>
      <c r="D74" s="357">
        <f t="shared" si="38"/>
        <v>459.34700000000026</v>
      </c>
      <c r="E74" s="357">
        <f t="shared" si="38"/>
        <v>13.372999999999998</v>
      </c>
      <c r="F74" s="357">
        <f t="shared" si="38"/>
        <v>12.360999999999997</v>
      </c>
      <c r="G74" s="357">
        <f t="shared" si="38"/>
        <v>-6.996</v>
      </c>
      <c r="H74" s="357">
        <f t="shared" si="38"/>
        <v>-0.5729999999999995</v>
      </c>
      <c r="I74" s="357">
        <f t="shared" si="38"/>
        <v>-426.683</v>
      </c>
      <c r="J74" s="357">
        <f t="shared" si="38"/>
        <v>-2.867</v>
      </c>
      <c r="K74" s="357">
        <f aca="true" t="shared" si="39" ref="K74:T74">K63+K72</f>
        <v>20162.344999999998</v>
      </c>
      <c r="L74" s="357">
        <f t="shared" si="39"/>
        <v>2255.1840000000066</v>
      </c>
      <c r="M74" s="357">
        <f t="shared" si="39"/>
        <v>-1.204</v>
      </c>
      <c r="N74" s="357">
        <f t="shared" si="39"/>
        <v>-0.8899999999999999</v>
      </c>
      <c r="O74" s="357">
        <f t="shared" si="39"/>
        <v>65.54899999999999</v>
      </c>
      <c r="P74" s="357">
        <f t="shared" si="39"/>
        <v>-2.109</v>
      </c>
      <c r="Q74" s="357">
        <f t="shared" si="39"/>
        <v>-192.455</v>
      </c>
      <c r="R74" s="357">
        <f>R63+R72</f>
        <v>-64.7370000000001</v>
      </c>
      <c r="S74" s="357">
        <f t="shared" si="39"/>
        <v>-8.519000000000002</v>
      </c>
      <c r="T74" s="357">
        <f t="shared" si="39"/>
        <v>-1.647</v>
      </c>
      <c r="U74" s="359">
        <f>U63+U72</f>
        <v>23554.62099999996</v>
      </c>
      <c r="V74" s="356"/>
      <c r="W74" s="358"/>
      <c r="X74" s="357"/>
      <c r="Y74" s="360">
        <f>Y63+Y72</f>
        <v>24560.11769999996</v>
      </c>
      <c r="Z74" s="360">
        <f>+Z63-Z72</f>
        <v>20107.36199999998</v>
      </c>
      <c r="AA74" s="360">
        <f>+Y74-Z74</f>
        <v>4452.75569999998</v>
      </c>
      <c r="AB74" s="357">
        <f>AB63+AB72</f>
        <v>4452.755699999985</v>
      </c>
      <c r="AC74" s="362">
        <v>10587.134966612486</v>
      </c>
      <c r="AD74" s="362">
        <f t="shared" si="28"/>
        <v>13972.982733387473</v>
      </c>
    </row>
    <row r="75" spans="1:30" ht="12.75">
      <c r="A75" s="436" t="s">
        <v>184</v>
      </c>
      <c r="B75" s="357">
        <v>0</v>
      </c>
      <c r="C75" s="357">
        <v>0</v>
      </c>
      <c r="D75" s="357">
        <v>0</v>
      </c>
      <c r="E75" s="357">
        <v>0</v>
      </c>
      <c r="F75" s="357">
        <v>0</v>
      </c>
      <c r="G75" s="357">
        <v>0</v>
      </c>
      <c r="H75" s="357">
        <v>0</v>
      </c>
      <c r="I75" s="357">
        <v>0</v>
      </c>
      <c r="J75" s="357">
        <v>0</v>
      </c>
      <c r="K75" s="357">
        <v>456.873</v>
      </c>
      <c r="L75" s="357">
        <v>20.52</v>
      </c>
      <c r="M75" s="359">
        <v>0</v>
      </c>
      <c r="N75" s="359">
        <v>0</v>
      </c>
      <c r="O75" s="359">
        <v>0</v>
      </c>
      <c r="P75" s="359">
        <v>0</v>
      </c>
      <c r="Q75" s="359">
        <v>0</v>
      </c>
      <c r="R75" s="359">
        <v>0</v>
      </c>
      <c r="S75" s="359">
        <v>0</v>
      </c>
      <c r="T75" s="359">
        <v>0</v>
      </c>
      <c r="U75" s="359">
        <f>SUM(B75:T75)</f>
        <v>477.393</v>
      </c>
      <c r="V75" s="356"/>
      <c r="W75" s="358"/>
      <c r="X75" s="357"/>
      <c r="Y75" s="360"/>
      <c r="Z75" s="360"/>
      <c r="AA75" s="360"/>
      <c r="AD75" s="362">
        <f t="shared" si="28"/>
        <v>0</v>
      </c>
    </row>
    <row r="76" spans="1:33" ht="12.75">
      <c r="A76" s="436" t="s">
        <v>551</v>
      </c>
      <c r="B76" s="357">
        <f>pl!E51</f>
        <v>-285.353</v>
      </c>
      <c r="C76" s="357">
        <v>0</v>
      </c>
      <c r="D76" s="357">
        <f>pl!H51</f>
        <v>0</v>
      </c>
      <c r="E76" s="357">
        <f>pl!I51</f>
        <v>0</v>
      </c>
      <c r="F76" s="357">
        <f>pl!J51</f>
        <v>0</v>
      </c>
      <c r="G76" s="357">
        <v>0</v>
      </c>
      <c r="H76" s="357">
        <v>0</v>
      </c>
      <c r="I76" s="357">
        <f>pl!M51</f>
        <v>-0.778</v>
      </c>
      <c r="J76" s="357">
        <v>0</v>
      </c>
      <c r="K76" s="357">
        <f>+pl!O51-K75</f>
        <v>-3168</v>
      </c>
      <c r="L76" s="357">
        <f>+pl!P51-L75</f>
        <v>-272</v>
      </c>
      <c r="M76" s="359">
        <v>0</v>
      </c>
      <c r="N76" s="359">
        <v>0</v>
      </c>
      <c r="O76" s="359">
        <v>0</v>
      </c>
      <c r="P76" s="359">
        <v>0</v>
      </c>
      <c r="Q76" s="359">
        <v>0</v>
      </c>
      <c r="R76" s="359">
        <v>0</v>
      </c>
      <c r="S76" s="359">
        <v>0</v>
      </c>
      <c r="T76" s="359">
        <v>0</v>
      </c>
      <c r="U76" s="359">
        <f>SUM(B76:T76)</f>
        <v>-3726.131</v>
      </c>
      <c r="V76" s="356" t="s">
        <v>1127</v>
      </c>
      <c r="W76" s="358">
        <f>je!O110/1000</f>
        <v>153.458</v>
      </c>
      <c r="X76" s="357">
        <f>-je!O136/1000</f>
        <v>33.6</v>
      </c>
      <c r="Y76" s="360">
        <f>+U75+U76-W76+X76+X77</f>
        <v>-3368.596</v>
      </c>
      <c r="Z76" s="360">
        <v>-2630.056</v>
      </c>
      <c r="AA76" s="360">
        <f>+Y76-Z76</f>
        <v>-738.54</v>
      </c>
      <c r="AB76" s="362">
        <f>+AA76</f>
        <v>-738.54</v>
      </c>
      <c r="AC76" s="362">
        <v>-2716.1597894645</v>
      </c>
      <c r="AD76" s="362">
        <f t="shared" si="28"/>
        <v>-652.4362105354999</v>
      </c>
      <c r="AG76" s="362">
        <f>AD76</f>
        <v>-652.4362105354999</v>
      </c>
    </row>
    <row r="77" spans="1:30" ht="12.75">
      <c r="A77" s="436"/>
      <c r="B77" s="357"/>
      <c r="C77" s="357"/>
      <c r="D77" s="357"/>
      <c r="E77" s="357"/>
      <c r="F77" s="357"/>
      <c r="G77" s="357"/>
      <c r="H77" s="357"/>
      <c r="I77" s="357"/>
      <c r="J77" s="357"/>
      <c r="K77" s="357"/>
      <c r="L77" s="357"/>
      <c r="M77" s="359"/>
      <c r="N77" s="359"/>
      <c r="O77" s="359"/>
      <c r="P77" s="359"/>
      <c r="Q77" s="359"/>
      <c r="R77" s="359"/>
      <c r="S77" s="359"/>
      <c r="T77" s="359"/>
      <c r="U77" s="359"/>
      <c r="V77" s="356"/>
      <c r="W77" s="358"/>
      <c r="X77" s="357"/>
      <c r="Y77" s="360"/>
      <c r="Z77" s="360"/>
      <c r="AA77" s="360"/>
      <c r="AD77" s="362">
        <f t="shared" si="28"/>
        <v>0</v>
      </c>
    </row>
    <row r="78" spans="1:30" ht="12.75">
      <c r="A78" s="436" t="s">
        <v>552</v>
      </c>
      <c r="B78" s="357">
        <f>+B74+B76+B75</f>
        <v>1065.3779999999997</v>
      </c>
      <c r="C78" s="357">
        <f aca="true" t="shared" si="40" ref="C78:I78">+C74+C76</f>
        <v>-55.588999999999984</v>
      </c>
      <c r="D78" s="357">
        <f t="shared" si="40"/>
        <v>459.34700000000026</v>
      </c>
      <c r="E78" s="357">
        <f t="shared" si="40"/>
        <v>13.372999999999998</v>
      </c>
      <c r="F78" s="357">
        <f t="shared" si="40"/>
        <v>12.360999999999997</v>
      </c>
      <c r="G78" s="357">
        <f t="shared" si="40"/>
        <v>-6.996</v>
      </c>
      <c r="H78" s="357">
        <f t="shared" si="40"/>
        <v>-0.5729999999999995</v>
      </c>
      <c r="I78" s="357">
        <f t="shared" si="40"/>
        <v>-427.461</v>
      </c>
      <c r="J78" s="357">
        <f>+J74+J76+J75</f>
        <v>-2.867</v>
      </c>
      <c r="K78" s="357">
        <f>+K74+K76+K75</f>
        <v>17451.217999999997</v>
      </c>
      <c r="L78" s="357">
        <f>+L74+L76+L75</f>
        <v>2003.7040000000065</v>
      </c>
      <c r="M78" s="357">
        <f>+M74+M76+M75</f>
        <v>-1.204</v>
      </c>
      <c r="N78" s="357">
        <f>+N74+N76+N75</f>
        <v>-0.8899999999999999</v>
      </c>
      <c r="O78" s="357">
        <f aca="true" t="shared" si="41" ref="O78:T78">+O74+O76</f>
        <v>65.54899999999999</v>
      </c>
      <c r="P78" s="357">
        <f t="shared" si="41"/>
        <v>-2.109</v>
      </c>
      <c r="Q78" s="357">
        <f t="shared" si="41"/>
        <v>-192.455</v>
      </c>
      <c r="R78" s="357">
        <f t="shared" si="41"/>
        <v>-64.7370000000001</v>
      </c>
      <c r="S78" s="357">
        <f t="shared" si="41"/>
        <v>-8.519000000000002</v>
      </c>
      <c r="T78" s="357">
        <f t="shared" si="41"/>
        <v>-1.647</v>
      </c>
      <c r="U78" s="357">
        <f>+U74+U76+U75</f>
        <v>20305.882999999958</v>
      </c>
      <c r="V78" s="356"/>
      <c r="W78" s="358"/>
      <c r="X78" s="357"/>
      <c r="Y78" s="360">
        <f>+Y74+Y76</f>
        <v>21191.521699999957</v>
      </c>
      <c r="Z78" s="360">
        <f>SUM(Z74:Z76)</f>
        <v>17477.30599999998</v>
      </c>
      <c r="AA78" s="360">
        <f>+Y78-Z78</f>
        <v>3714.215699999979</v>
      </c>
      <c r="AB78" s="357">
        <f>+AB74+AB76</f>
        <v>3714.215699999985</v>
      </c>
      <c r="AC78" s="362">
        <v>7870.975177147986</v>
      </c>
      <c r="AD78" s="362">
        <f t="shared" si="28"/>
        <v>13320.546522851972</v>
      </c>
    </row>
    <row r="79" spans="1:30" ht="12.75">
      <c r="A79" s="436"/>
      <c r="B79" s="357"/>
      <c r="C79" s="357"/>
      <c r="D79" s="357"/>
      <c r="E79" s="357"/>
      <c r="F79" s="357"/>
      <c r="G79" s="357"/>
      <c r="H79" s="357"/>
      <c r="I79" s="357"/>
      <c r="J79" s="357"/>
      <c r="K79" s="357"/>
      <c r="L79" s="357"/>
      <c r="M79" s="359"/>
      <c r="N79" s="359"/>
      <c r="O79" s="359"/>
      <c r="P79" s="359"/>
      <c r="Q79" s="359"/>
      <c r="R79" s="359"/>
      <c r="S79" s="359"/>
      <c r="T79" s="359"/>
      <c r="U79" s="359"/>
      <c r="V79" s="356"/>
      <c r="W79" s="358"/>
      <c r="X79" s="357"/>
      <c r="Y79" s="360"/>
      <c r="Z79" s="360"/>
      <c r="AA79" s="360"/>
      <c r="AD79" s="362">
        <f t="shared" si="28"/>
        <v>0</v>
      </c>
    </row>
    <row r="80" spans="1:30" ht="12.75">
      <c r="A80" s="436" t="s">
        <v>369</v>
      </c>
      <c r="B80" s="357">
        <v>0</v>
      </c>
      <c r="C80" s="357">
        <v>0</v>
      </c>
      <c r="D80" s="738">
        <v>0.0667</v>
      </c>
      <c r="E80" s="357">
        <v>0</v>
      </c>
      <c r="F80" s="357">
        <v>0</v>
      </c>
      <c r="G80" s="357">
        <v>0</v>
      </c>
      <c r="H80" s="357">
        <v>0</v>
      </c>
      <c r="I80" s="357">
        <v>0</v>
      </c>
      <c r="J80" s="357">
        <v>0</v>
      </c>
      <c r="K80" s="739">
        <v>0.4</v>
      </c>
      <c r="L80" s="739">
        <v>0.4</v>
      </c>
      <c r="M80" s="359">
        <v>0</v>
      </c>
      <c r="N80" s="359">
        <v>0</v>
      </c>
      <c r="O80" s="359">
        <v>0</v>
      </c>
      <c r="P80" s="359">
        <v>0</v>
      </c>
      <c r="Q80" s="359">
        <v>0</v>
      </c>
      <c r="R80" s="740">
        <v>0.3</v>
      </c>
      <c r="S80" s="740">
        <v>0.3</v>
      </c>
      <c r="T80" s="359">
        <v>0</v>
      </c>
      <c r="U80" s="359"/>
      <c r="V80" s="356"/>
      <c r="W80" s="358"/>
      <c r="X80" s="357"/>
      <c r="Y80" s="360"/>
      <c r="Z80" s="360"/>
      <c r="AA80" s="360">
        <f>+Y80-Z80</f>
        <v>0</v>
      </c>
      <c r="AB80" s="362">
        <f>+AA80</f>
        <v>0</v>
      </c>
      <c r="AD80" s="362">
        <f t="shared" si="28"/>
        <v>0</v>
      </c>
    </row>
    <row r="81" spans="1:30" ht="12.75">
      <c r="A81" s="436"/>
      <c r="B81" s="357">
        <v>0</v>
      </c>
      <c r="C81" s="357">
        <v>0</v>
      </c>
      <c r="D81" s="357">
        <v>0</v>
      </c>
      <c r="E81" s="357">
        <v>0</v>
      </c>
      <c r="F81" s="357">
        <v>0</v>
      </c>
      <c r="G81" s="357">
        <v>0</v>
      </c>
      <c r="H81" s="357">
        <f>H78*H80</f>
        <v>0</v>
      </c>
      <c r="I81" s="357">
        <v>0</v>
      </c>
      <c r="J81" s="357">
        <v>0</v>
      </c>
      <c r="K81" s="357">
        <v>0</v>
      </c>
      <c r="L81" s="357">
        <v>0</v>
      </c>
      <c r="M81" s="357">
        <v>0</v>
      </c>
      <c r="N81" s="357">
        <f>N78*N80</f>
        <v>0</v>
      </c>
      <c r="O81" s="357">
        <f>O78*O80</f>
        <v>0</v>
      </c>
      <c r="P81" s="357">
        <f>P78*P80</f>
        <v>0</v>
      </c>
      <c r="Q81" s="357">
        <f>Q78*Q80</f>
        <v>0</v>
      </c>
      <c r="R81" s="357">
        <v>0</v>
      </c>
      <c r="S81" s="357">
        <v>0</v>
      </c>
      <c r="T81" s="359">
        <v>0</v>
      </c>
      <c r="U81" s="359">
        <f>SUM(B81:T81)</f>
        <v>0</v>
      </c>
      <c r="V81" s="356" t="s">
        <v>553</v>
      </c>
      <c r="W81" s="358">
        <f>je!P233/1000</f>
        <v>7966.832</v>
      </c>
      <c r="X81" s="357"/>
      <c r="Y81" s="360">
        <f>-W81+W82</f>
        <v>-7966.832</v>
      </c>
      <c r="Z81" s="360">
        <v>-6239.916</v>
      </c>
      <c r="AA81" s="360">
        <f>+Y81-Z81</f>
        <v>-1726.9160000000002</v>
      </c>
      <c r="AB81" s="658">
        <f>+AA81</f>
        <v>-1726.9160000000002</v>
      </c>
      <c r="AC81" s="362">
        <v>-2900.73023</v>
      </c>
      <c r="AD81" s="362">
        <f t="shared" si="28"/>
        <v>-5066.10177</v>
      </c>
    </row>
    <row r="82" spans="1:30" ht="12.75">
      <c r="A82" s="436"/>
      <c r="B82" s="357"/>
      <c r="C82" s="357"/>
      <c r="D82" s="357"/>
      <c r="E82" s="357"/>
      <c r="F82" s="357"/>
      <c r="G82" s="357"/>
      <c r="H82" s="357"/>
      <c r="I82" s="357"/>
      <c r="J82" s="357"/>
      <c r="K82" s="357"/>
      <c r="L82" s="357"/>
      <c r="M82" s="357"/>
      <c r="N82" s="357"/>
      <c r="O82" s="359"/>
      <c r="P82" s="359"/>
      <c r="Q82" s="359"/>
      <c r="R82" s="359"/>
      <c r="S82" s="359"/>
      <c r="T82" s="359"/>
      <c r="U82" s="359"/>
      <c r="V82" s="356"/>
      <c r="W82" s="358"/>
      <c r="X82" s="357"/>
      <c r="Y82" s="360"/>
      <c r="Z82" s="360"/>
      <c r="AA82" s="360"/>
      <c r="AD82" s="362">
        <f t="shared" si="28"/>
        <v>0</v>
      </c>
    </row>
    <row r="83" spans="1:30" ht="12.75">
      <c r="A83" s="436" t="s">
        <v>554</v>
      </c>
      <c r="B83" s="357">
        <f>B78-B81</f>
        <v>1065.3779999999997</v>
      </c>
      <c r="C83" s="357">
        <f>C78-C81</f>
        <v>-55.588999999999984</v>
      </c>
      <c r="D83" s="357">
        <f>D78-D81</f>
        <v>459.34700000000026</v>
      </c>
      <c r="E83" s="357">
        <f aca="true" t="shared" si="42" ref="E83:Q83">E78-E81</f>
        <v>13.372999999999998</v>
      </c>
      <c r="F83" s="357">
        <f t="shared" si="42"/>
        <v>12.360999999999997</v>
      </c>
      <c r="G83" s="357">
        <f t="shared" si="42"/>
        <v>-6.996</v>
      </c>
      <c r="H83" s="357">
        <f t="shared" si="42"/>
        <v>-0.5729999999999995</v>
      </c>
      <c r="I83" s="357">
        <f t="shared" si="42"/>
        <v>-427.461</v>
      </c>
      <c r="J83" s="357">
        <f t="shared" si="42"/>
        <v>-2.867</v>
      </c>
      <c r="K83" s="357">
        <f t="shared" si="42"/>
        <v>17451.217999999997</v>
      </c>
      <c r="L83" s="357">
        <f>L78-L81</f>
        <v>2003.7040000000065</v>
      </c>
      <c r="M83" s="357">
        <f t="shared" si="42"/>
        <v>-1.204</v>
      </c>
      <c r="N83" s="357">
        <f t="shared" si="42"/>
        <v>-0.8899999999999999</v>
      </c>
      <c r="O83" s="357">
        <f t="shared" si="42"/>
        <v>65.54899999999999</v>
      </c>
      <c r="P83" s="357">
        <f t="shared" si="42"/>
        <v>-2.109</v>
      </c>
      <c r="Q83" s="357">
        <f t="shared" si="42"/>
        <v>-192.455</v>
      </c>
      <c r="R83" s="357">
        <f>R78-R81</f>
        <v>-64.7370000000001</v>
      </c>
      <c r="S83" s="357">
        <f>S78-S81</f>
        <v>-8.519000000000002</v>
      </c>
      <c r="T83" s="357">
        <f>T78-T81</f>
        <v>-1.647</v>
      </c>
      <c r="U83" s="357">
        <f>U78-U81</f>
        <v>20305.882999999958</v>
      </c>
      <c r="V83" s="356"/>
      <c r="W83" s="358"/>
      <c r="X83" s="357"/>
      <c r="Y83" s="360">
        <f>+Y78+Y81</f>
        <v>13224.689699999957</v>
      </c>
      <c r="Z83" s="360">
        <f>SUM(Z78:Z81)</f>
        <v>11237.389999999978</v>
      </c>
      <c r="AA83" s="360">
        <f>+Y83-Z83</f>
        <v>1987.2996999999796</v>
      </c>
      <c r="AB83" s="357">
        <f>+AB78+AB81</f>
        <v>1987.299699999985</v>
      </c>
      <c r="AC83" s="362">
        <v>4970.244947147986</v>
      </c>
      <c r="AD83" s="362">
        <f t="shared" si="28"/>
        <v>8254.44475285197</v>
      </c>
    </row>
    <row r="84" spans="1:30" ht="12.75">
      <c r="A84" s="436"/>
      <c r="B84" s="357"/>
      <c r="C84" s="357"/>
      <c r="D84" s="357"/>
      <c r="E84" s="357"/>
      <c r="F84" s="357"/>
      <c r="G84" s="357"/>
      <c r="H84" s="357"/>
      <c r="I84" s="357"/>
      <c r="J84" s="357"/>
      <c r="K84" s="357"/>
      <c r="L84" s="357"/>
      <c r="M84" s="359"/>
      <c r="N84" s="359"/>
      <c r="O84" s="359"/>
      <c r="P84" s="359"/>
      <c r="Q84" s="359"/>
      <c r="R84" s="359"/>
      <c r="S84" s="359"/>
      <c r="T84" s="359"/>
      <c r="U84" s="359"/>
      <c r="V84" s="356"/>
      <c r="W84" s="358"/>
      <c r="X84" s="357"/>
      <c r="Y84" s="360"/>
      <c r="Z84" s="360"/>
      <c r="AA84" s="360"/>
      <c r="AB84" s="361"/>
      <c r="AD84" s="362">
        <f t="shared" si="28"/>
        <v>0</v>
      </c>
    </row>
    <row r="85" spans="1:30" ht="12.75">
      <c r="A85" s="436" t="s">
        <v>883</v>
      </c>
      <c r="B85" s="357">
        <v>0</v>
      </c>
      <c r="C85" s="357">
        <v>0</v>
      </c>
      <c r="D85" s="357">
        <v>0</v>
      </c>
      <c r="E85" s="357">
        <v>0</v>
      </c>
      <c r="F85" s="357">
        <v>0</v>
      </c>
      <c r="G85" s="357">
        <v>0</v>
      </c>
      <c r="H85" s="357">
        <v>0</v>
      </c>
      <c r="I85" s="357">
        <v>0</v>
      </c>
      <c r="J85" s="357">
        <v>0</v>
      </c>
      <c r="K85" s="357">
        <v>0</v>
      </c>
      <c r="L85" s="357">
        <v>0</v>
      </c>
      <c r="M85" s="359">
        <v>0</v>
      </c>
      <c r="N85" s="359">
        <v>0</v>
      </c>
      <c r="O85" s="359">
        <v>0</v>
      </c>
      <c r="P85" s="359">
        <v>0</v>
      </c>
      <c r="Q85" s="359">
        <v>0</v>
      </c>
      <c r="R85" s="359">
        <v>0</v>
      </c>
      <c r="S85" s="359">
        <v>0</v>
      </c>
      <c r="T85" s="359">
        <v>0</v>
      </c>
      <c r="U85" s="359">
        <f>SUM(B85:T85)</f>
        <v>0</v>
      </c>
      <c r="V85" s="356" t="s">
        <v>1128</v>
      </c>
      <c r="W85" s="358"/>
      <c r="X85" s="840">
        <f>-(+je!O135/1000+je!O140/1000)</f>
        <v>0</v>
      </c>
      <c r="Y85" s="360">
        <f>+U85-W85+X85</f>
        <v>0</v>
      </c>
      <c r="Z85" s="360">
        <v>0</v>
      </c>
      <c r="AA85" s="360">
        <f>Y85-Z85</f>
        <v>0</v>
      </c>
      <c r="AB85" s="361"/>
      <c r="AC85" s="362">
        <v>0</v>
      </c>
      <c r="AD85" s="362">
        <f t="shared" si="28"/>
        <v>0</v>
      </c>
    </row>
    <row r="86" spans="1:30" ht="12.75">
      <c r="A86" s="436"/>
      <c r="B86" s="357"/>
      <c r="C86" s="357"/>
      <c r="D86" s="357"/>
      <c r="E86" s="357"/>
      <c r="F86" s="357"/>
      <c r="G86" s="357"/>
      <c r="H86" s="357"/>
      <c r="I86" s="357"/>
      <c r="J86" s="357"/>
      <c r="K86" s="357"/>
      <c r="L86" s="357"/>
      <c r="M86" s="359"/>
      <c r="N86" s="359"/>
      <c r="O86" s="359"/>
      <c r="P86" s="359"/>
      <c r="Q86" s="359"/>
      <c r="R86" s="359"/>
      <c r="S86" s="359"/>
      <c r="T86" s="359"/>
      <c r="U86" s="359"/>
      <c r="V86" s="356"/>
      <c r="W86" s="358"/>
      <c r="X86" s="357"/>
      <c r="Y86" s="360"/>
      <c r="Z86" s="360"/>
      <c r="AA86" s="360"/>
      <c r="AB86" s="361"/>
      <c r="AD86" s="362">
        <f t="shared" si="28"/>
        <v>0</v>
      </c>
    </row>
    <row r="87" spans="1:33" ht="12.75">
      <c r="A87" s="436" t="s">
        <v>887</v>
      </c>
      <c r="B87" s="357">
        <f>B83-B85</f>
        <v>1065.3779999999997</v>
      </c>
      <c r="C87" s="357">
        <f aca="true" t="shared" si="43" ref="C87:J87">C83-C85</f>
        <v>-55.588999999999984</v>
      </c>
      <c r="D87" s="357">
        <f t="shared" si="43"/>
        <v>459.34700000000026</v>
      </c>
      <c r="E87" s="357">
        <f t="shared" si="43"/>
        <v>13.372999999999998</v>
      </c>
      <c r="F87" s="357">
        <f t="shared" si="43"/>
        <v>12.360999999999997</v>
      </c>
      <c r="G87" s="357">
        <f t="shared" si="43"/>
        <v>-6.996</v>
      </c>
      <c r="H87" s="357">
        <f t="shared" si="43"/>
        <v>-0.5729999999999995</v>
      </c>
      <c r="I87" s="357">
        <f t="shared" si="43"/>
        <v>-427.461</v>
      </c>
      <c r="J87" s="357">
        <f t="shared" si="43"/>
        <v>-2.867</v>
      </c>
      <c r="K87" s="357">
        <f>+K83-K85</f>
        <v>17451.217999999997</v>
      </c>
      <c r="L87" s="357">
        <f aca="true" t="shared" si="44" ref="L87:T87">L83-L85</f>
        <v>2003.7040000000065</v>
      </c>
      <c r="M87" s="357">
        <f t="shared" si="44"/>
        <v>-1.204</v>
      </c>
      <c r="N87" s="357">
        <f t="shared" si="44"/>
        <v>-0.8899999999999999</v>
      </c>
      <c r="O87" s="357">
        <f t="shared" si="44"/>
        <v>65.54899999999999</v>
      </c>
      <c r="P87" s="357">
        <f t="shared" si="44"/>
        <v>-2.109</v>
      </c>
      <c r="Q87" s="357">
        <f t="shared" si="44"/>
        <v>-192.455</v>
      </c>
      <c r="R87" s="357">
        <f>R83-R85</f>
        <v>-64.7370000000001</v>
      </c>
      <c r="S87" s="357">
        <f t="shared" si="44"/>
        <v>-8.519000000000002</v>
      </c>
      <c r="T87" s="357">
        <f t="shared" si="44"/>
        <v>-1.647</v>
      </c>
      <c r="U87" s="357">
        <f>+U83-U85</f>
        <v>20305.882999999958</v>
      </c>
      <c r="V87" s="356"/>
      <c r="W87" s="358"/>
      <c r="X87" s="357"/>
      <c r="Y87" s="360">
        <f>+Y83-Y85</f>
        <v>13224.689699999957</v>
      </c>
      <c r="Z87" s="360">
        <f>SUM(Z83:Z86)</f>
        <v>11237.389999999978</v>
      </c>
      <c r="AA87" s="360">
        <f>+Y87-Z87</f>
        <v>1987.2996999999796</v>
      </c>
      <c r="AB87" s="357">
        <f>+AB83-AB85</f>
        <v>1987.299699999985</v>
      </c>
      <c r="AC87" s="362">
        <v>4970.244947147986</v>
      </c>
      <c r="AD87" s="362">
        <f t="shared" si="28"/>
        <v>8254.44475285197</v>
      </c>
      <c r="AE87" s="362">
        <f>SUM(AE9:AE86)</f>
        <v>632.0784200000062</v>
      </c>
      <c r="AF87" s="362">
        <f>SUM(AF9:AF86)</f>
        <v>537.4917</v>
      </c>
      <c r="AG87" s="362">
        <f>SUM(AG9:AG86)</f>
        <v>-652.4362105354999</v>
      </c>
    </row>
    <row r="88" ht="12.75">
      <c r="AA88" s="366">
        <f>AA87-'B. Sheet'!AE72</f>
        <v>-2.000888343900442E-11</v>
      </c>
    </row>
    <row r="90" spans="1:21" ht="12.75">
      <c r="A90" s="541" t="s">
        <v>1477</v>
      </c>
      <c r="B90" s="362">
        <f>B58</f>
        <v>42</v>
      </c>
      <c r="C90" s="362">
        <f aca="true" t="shared" si="45" ref="C90:T90">+C58</f>
        <v>11.523</v>
      </c>
      <c r="D90" s="362">
        <f t="shared" si="45"/>
        <v>210.051</v>
      </c>
      <c r="E90" s="362">
        <f t="shared" si="45"/>
        <v>0.781</v>
      </c>
      <c r="F90" s="362">
        <f t="shared" si="45"/>
        <v>28.159</v>
      </c>
      <c r="G90" s="362">
        <f t="shared" si="45"/>
        <v>0</v>
      </c>
      <c r="H90" s="362">
        <f t="shared" si="45"/>
        <v>0</v>
      </c>
      <c r="I90" s="362">
        <f>I58</f>
        <v>25.592000000000002</v>
      </c>
      <c r="J90" s="362">
        <f t="shared" si="45"/>
        <v>0</v>
      </c>
      <c r="K90" s="362">
        <f>K58</f>
        <v>938.7530000000006</v>
      </c>
      <c r="L90" s="362">
        <f>+L58</f>
        <v>102.44499999999994</v>
      </c>
      <c r="M90" s="362">
        <f t="shared" si="45"/>
        <v>0</v>
      </c>
      <c r="N90" s="362">
        <f t="shared" si="45"/>
        <v>0</v>
      </c>
      <c r="O90" s="362">
        <f t="shared" si="45"/>
        <v>0</v>
      </c>
      <c r="P90" s="362">
        <f t="shared" si="45"/>
        <v>0</v>
      </c>
      <c r="Q90" s="362">
        <f t="shared" si="45"/>
        <v>0</v>
      </c>
      <c r="R90" s="362">
        <f>+R58</f>
        <v>165.137</v>
      </c>
      <c r="S90" s="362">
        <f t="shared" si="45"/>
        <v>3.605</v>
      </c>
      <c r="T90" s="362">
        <f t="shared" si="45"/>
        <v>0</v>
      </c>
      <c r="U90" s="362">
        <f>SUM(B90:T90)</f>
        <v>1528.0460000000005</v>
      </c>
    </row>
    <row r="91" spans="1:21" ht="12.75">
      <c r="A91" s="541" t="s">
        <v>1479</v>
      </c>
      <c r="B91" s="362">
        <v>0</v>
      </c>
      <c r="C91" s="362">
        <v>0</v>
      </c>
      <c r="D91" s="362">
        <v>0</v>
      </c>
      <c r="E91" s="362">
        <v>0</v>
      </c>
      <c r="F91" s="362">
        <v>0</v>
      </c>
      <c r="G91" s="362">
        <v>0</v>
      </c>
      <c r="H91" s="362">
        <v>0</v>
      </c>
      <c r="I91" s="362">
        <v>0</v>
      </c>
      <c r="J91" s="362">
        <v>0</v>
      </c>
      <c r="K91" s="362">
        <v>10442.714</v>
      </c>
      <c r="L91" s="362">
        <v>1725.488</v>
      </c>
      <c r="M91" s="362">
        <v>0</v>
      </c>
      <c r="N91" s="362">
        <v>0</v>
      </c>
      <c r="O91" s="362">
        <v>0</v>
      </c>
      <c r="P91" s="362">
        <v>0</v>
      </c>
      <c r="Q91" s="362">
        <v>0</v>
      </c>
      <c r="S91" s="362">
        <v>0</v>
      </c>
      <c r="T91" s="362">
        <v>0</v>
      </c>
      <c r="U91" s="362">
        <f>SUM(B91:T91)</f>
        <v>12168.202</v>
      </c>
    </row>
    <row r="92" spans="2:21" ht="12.75">
      <c r="B92" s="734">
        <f>SUM(B90:B91)</f>
        <v>42</v>
      </c>
      <c r="C92" s="734">
        <f aca="true" t="shared" si="46" ref="C92:T92">SUM(C90:C91)</f>
        <v>11.523</v>
      </c>
      <c r="D92" s="734">
        <f t="shared" si="46"/>
        <v>210.051</v>
      </c>
      <c r="E92" s="734">
        <f t="shared" si="46"/>
        <v>0.781</v>
      </c>
      <c r="F92" s="734">
        <f t="shared" si="46"/>
        <v>28.159</v>
      </c>
      <c r="G92" s="734">
        <f t="shared" si="46"/>
        <v>0</v>
      </c>
      <c r="H92" s="734">
        <f t="shared" si="46"/>
        <v>0</v>
      </c>
      <c r="I92" s="734">
        <f t="shared" si="46"/>
        <v>25.592000000000002</v>
      </c>
      <c r="J92" s="734">
        <f t="shared" si="46"/>
        <v>0</v>
      </c>
      <c r="K92" s="734">
        <f t="shared" si="46"/>
        <v>11381.467</v>
      </c>
      <c r="L92" s="734">
        <f t="shared" si="46"/>
        <v>1827.933</v>
      </c>
      <c r="M92" s="734">
        <f t="shared" si="46"/>
        <v>0</v>
      </c>
      <c r="N92" s="734">
        <f t="shared" si="46"/>
        <v>0</v>
      </c>
      <c r="O92" s="734">
        <f t="shared" si="46"/>
        <v>0</v>
      </c>
      <c r="P92" s="734">
        <f t="shared" si="46"/>
        <v>0</v>
      </c>
      <c r="Q92" s="734">
        <f t="shared" si="46"/>
        <v>0</v>
      </c>
      <c r="R92" s="734">
        <f t="shared" si="46"/>
        <v>165.137</v>
      </c>
      <c r="S92" s="734">
        <f t="shared" si="46"/>
        <v>3.605</v>
      </c>
      <c r="T92" s="734">
        <f t="shared" si="46"/>
        <v>0</v>
      </c>
      <c r="U92" s="734">
        <f>SUM(U90:U91)</f>
        <v>13696.248</v>
      </c>
    </row>
    <row r="94" spans="1:21" ht="12.75">
      <c r="A94" s="541" t="s">
        <v>267</v>
      </c>
      <c r="B94" s="362">
        <v>0</v>
      </c>
      <c r="C94" s="362">
        <v>0</v>
      </c>
      <c r="D94" s="362">
        <v>0</v>
      </c>
      <c r="E94" s="362">
        <v>0</v>
      </c>
      <c r="F94" s="362">
        <v>0</v>
      </c>
      <c r="G94" s="362">
        <v>0</v>
      </c>
      <c r="H94" s="362">
        <f>+H92</f>
        <v>0</v>
      </c>
      <c r="I94" s="362">
        <f>+I92</f>
        <v>25.592000000000002</v>
      </c>
      <c r="J94" s="362">
        <v>0</v>
      </c>
      <c r="K94" s="362">
        <f>+K92</f>
        <v>11381.467</v>
      </c>
      <c r="L94" s="362">
        <f>+L92</f>
        <v>1827.933</v>
      </c>
      <c r="M94" s="362">
        <v>0</v>
      </c>
      <c r="N94" s="362">
        <v>0</v>
      </c>
      <c r="O94" s="362">
        <v>0</v>
      </c>
      <c r="P94" s="362">
        <v>0</v>
      </c>
      <c r="Q94" s="362">
        <v>0</v>
      </c>
      <c r="R94" s="362">
        <v>0</v>
      </c>
      <c r="S94" s="362">
        <v>0</v>
      </c>
      <c r="T94" s="362">
        <v>0</v>
      </c>
      <c r="U94" s="362">
        <f>SUM(B94:T94)</f>
        <v>13234.992000000002</v>
      </c>
    </row>
    <row r="95" spans="1:21" ht="12.75">
      <c r="A95" s="541" t="s">
        <v>268</v>
      </c>
      <c r="B95" s="362">
        <v>0</v>
      </c>
      <c r="C95" s="362">
        <f>+C92</f>
        <v>11.523</v>
      </c>
      <c r="D95" s="362">
        <f>+D92</f>
        <v>210.051</v>
      </c>
      <c r="E95" s="362">
        <f>+E92</f>
        <v>0.781</v>
      </c>
      <c r="F95" s="362">
        <f>+F92</f>
        <v>28.159</v>
      </c>
      <c r="G95" s="362">
        <f>+G92</f>
        <v>0</v>
      </c>
      <c r="H95" s="362">
        <v>0</v>
      </c>
      <c r="I95" s="362">
        <v>0</v>
      </c>
      <c r="J95" s="362">
        <f>+J92</f>
        <v>0</v>
      </c>
      <c r="K95" s="362">
        <v>0</v>
      </c>
      <c r="L95" s="362">
        <v>0</v>
      </c>
      <c r="M95" s="362">
        <v>0</v>
      </c>
      <c r="N95" s="362">
        <f>+N92</f>
        <v>0</v>
      </c>
      <c r="O95" s="362">
        <f>+O92</f>
        <v>0</v>
      </c>
      <c r="P95" s="362">
        <v>0</v>
      </c>
      <c r="Q95" s="362">
        <v>0</v>
      </c>
      <c r="R95" s="362">
        <v>0</v>
      </c>
      <c r="S95" s="362">
        <v>0</v>
      </c>
      <c r="T95" s="362">
        <v>0</v>
      </c>
      <c r="U95" s="362">
        <f>SUM(B95:T95)</f>
        <v>250.51399999999998</v>
      </c>
    </row>
    <row r="96" spans="1:22" ht="13.5" thickBot="1">
      <c r="A96" s="541" t="s">
        <v>269</v>
      </c>
      <c r="B96" s="858">
        <f>+B92</f>
        <v>42</v>
      </c>
      <c r="C96" s="858">
        <v>0</v>
      </c>
      <c r="D96" s="858">
        <v>0</v>
      </c>
      <c r="E96" s="858">
        <v>0</v>
      </c>
      <c r="F96" s="858">
        <v>0</v>
      </c>
      <c r="G96" s="858">
        <v>0</v>
      </c>
      <c r="H96" s="858">
        <v>0</v>
      </c>
      <c r="I96" s="858">
        <v>0</v>
      </c>
      <c r="J96" s="858">
        <v>0</v>
      </c>
      <c r="K96" s="858">
        <v>0</v>
      </c>
      <c r="L96" s="858">
        <v>0</v>
      </c>
      <c r="M96" s="858">
        <f>+M92</f>
        <v>0</v>
      </c>
      <c r="N96" s="858">
        <v>0</v>
      </c>
      <c r="O96" s="858">
        <v>0</v>
      </c>
      <c r="P96" s="858">
        <f>+P92</f>
        <v>0</v>
      </c>
      <c r="Q96" s="858">
        <f>+Q92</f>
        <v>0</v>
      </c>
      <c r="R96" s="858">
        <f>+R92</f>
        <v>165.137</v>
      </c>
      <c r="S96" s="858">
        <f>+S92</f>
        <v>3.605</v>
      </c>
      <c r="T96" s="858">
        <v>0</v>
      </c>
      <c r="U96" s="858">
        <f>SUM(B96:T96)</f>
        <v>210.742</v>
      </c>
      <c r="V96" s="362">
        <f>SUM(U94:U96)</f>
        <v>13696.248000000001</v>
      </c>
    </row>
    <row r="97" ht="13.5" thickTop="1"/>
    <row r="98" spans="1:21" ht="12.75">
      <c r="A98" s="541" t="s">
        <v>852</v>
      </c>
      <c r="B98" s="362">
        <v>68.926</v>
      </c>
      <c r="C98" s="362">
        <v>0</v>
      </c>
      <c r="D98" s="362">
        <v>14.595</v>
      </c>
      <c r="E98" s="362">
        <v>0</v>
      </c>
      <c r="F98" s="362">
        <v>0</v>
      </c>
      <c r="G98" s="362">
        <v>0</v>
      </c>
      <c r="H98" s="362">
        <v>0</v>
      </c>
      <c r="I98" s="362">
        <v>4.736</v>
      </c>
      <c r="J98" s="362">
        <v>0</v>
      </c>
      <c r="K98" s="362">
        <v>16992.569</v>
      </c>
      <c r="L98" s="362">
        <v>1691.477</v>
      </c>
      <c r="M98" s="362">
        <v>0</v>
      </c>
      <c r="N98" s="362">
        <v>0</v>
      </c>
      <c r="O98" s="362">
        <v>0</v>
      </c>
      <c r="P98" s="362">
        <v>0</v>
      </c>
      <c r="Q98" s="362">
        <v>0</v>
      </c>
      <c r="R98" s="741"/>
      <c r="S98" s="362">
        <v>0</v>
      </c>
      <c r="T98" s="362">
        <v>0</v>
      </c>
      <c r="U98" s="362">
        <f>SUM(B98:T98)</f>
        <v>18772.303</v>
      </c>
    </row>
    <row r="99" ht="12.75">
      <c r="R99" s="741"/>
    </row>
    <row r="100" spans="1:21" ht="12.75">
      <c r="A100" s="541" t="s">
        <v>853</v>
      </c>
      <c r="B100" s="362">
        <v>-243.305</v>
      </c>
      <c r="D100" s="362">
        <v>-265.975</v>
      </c>
      <c r="E100" s="362">
        <v>-50.755</v>
      </c>
      <c r="I100" s="362">
        <v>0</v>
      </c>
      <c r="K100" s="362">
        <f>-2681.04/1000</f>
        <v>-2.68104</v>
      </c>
      <c r="L100" s="362">
        <v>-26.05</v>
      </c>
      <c r="R100" s="741"/>
      <c r="U100" s="362">
        <f>SUM(B100:T100)</f>
        <v>-588.7660400000001</v>
      </c>
    </row>
    <row r="101" ht="12.75">
      <c r="R101" s="741"/>
    </row>
    <row r="102" spans="1:21" ht="12.75">
      <c r="A102" s="541" t="s">
        <v>854</v>
      </c>
      <c r="B102" s="362">
        <v>-243.303</v>
      </c>
      <c r="D102" s="362">
        <v>-219.371</v>
      </c>
      <c r="E102" s="362">
        <f>-50752/1000</f>
        <v>-50.752</v>
      </c>
      <c r="I102" s="362">
        <v>0</v>
      </c>
      <c r="K102" s="362">
        <v>-2.681</v>
      </c>
      <c r="L102" s="362">
        <v>0</v>
      </c>
      <c r="R102" s="741"/>
      <c r="U102" s="362">
        <f>SUM(B102:T102)</f>
        <v>-516.107</v>
      </c>
    </row>
    <row r="104" spans="1:21" ht="12.75">
      <c r="A104" s="541" t="s">
        <v>855</v>
      </c>
      <c r="B104" s="362">
        <f>+B24</f>
        <v>36.999</v>
      </c>
      <c r="D104" s="362">
        <v>58.982</v>
      </c>
      <c r="E104" s="362">
        <f>+E24</f>
        <v>10.699</v>
      </c>
      <c r="I104" s="362">
        <v>0</v>
      </c>
      <c r="K104" s="362">
        <v>0.05</v>
      </c>
      <c r="L104" s="362">
        <v>0.6</v>
      </c>
      <c r="U104" s="362">
        <f>SUM(B104:T104)</f>
        <v>107.32999999999998</v>
      </c>
    </row>
    <row r="106" spans="1:21" ht="12.75">
      <c r="A106" s="541" t="s">
        <v>456</v>
      </c>
      <c r="B106" s="362">
        <f>-(+B100-B102)+B104</f>
        <v>37.00100000000001</v>
      </c>
      <c r="D106" s="362">
        <f>-(+D100-D102)+D104</f>
        <v>105.58600000000001</v>
      </c>
      <c r="E106" s="362">
        <f>-(+E100-E102)+E104</f>
        <v>10.702</v>
      </c>
      <c r="K106" s="362">
        <v>0.05</v>
      </c>
      <c r="L106" s="362">
        <v>0.6</v>
      </c>
      <c r="U106" s="362">
        <f>SUM(B106:T106)</f>
        <v>153.93900000000002</v>
      </c>
    </row>
    <row r="108" spans="1:21" ht="12.75">
      <c r="A108" s="541" t="s">
        <v>299</v>
      </c>
      <c r="B108" s="362">
        <v>-269.53</v>
      </c>
      <c r="C108" s="362">
        <v>0</v>
      </c>
      <c r="D108" s="362">
        <v>0</v>
      </c>
      <c r="F108" s="362">
        <v>0</v>
      </c>
      <c r="G108" s="362">
        <v>0</v>
      </c>
      <c r="H108" s="362">
        <v>0</v>
      </c>
      <c r="I108" s="362">
        <v>-0.778</v>
      </c>
      <c r="J108" s="362">
        <v>0</v>
      </c>
      <c r="K108" s="362">
        <v>-3343.127</v>
      </c>
      <c r="L108" s="362">
        <v>-355.347</v>
      </c>
      <c r="M108" s="362">
        <v>0</v>
      </c>
      <c r="N108" s="362">
        <v>0</v>
      </c>
      <c r="O108" s="362">
        <v>0</v>
      </c>
      <c r="P108" s="362">
        <v>0</v>
      </c>
      <c r="Q108" s="362">
        <v>0</v>
      </c>
      <c r="R108" s="362">
        <v>0</v>
      </c>
      <c r="S108" s="362">
        <v>0</v>
      </c>
      <c r="T108" s="362">
        <v>0</v>
      </c>
      <c r="U108" s="362">
        <f>SUM(B108:T108)</f>
        <v>-3968.782</v>
      </c>
    </row>
    <row r="111" ht="12.75">
      <c r="A111" s="841" t="s">
        <v>1330</v>
      </c>
    </row>
    <row r="112" ht="12.75">
      <c r="A112" s="841" t="s">
        <v>1341</v>
      </c>
    </row>
    <row r="113" spans="1:3" ht="12.75">
      <c r="A113" s="841"/>
      <c r="C113" s="814" t="s">
        <v>521</v>
      </c>
    </row>
    <row r="114" spans="1:3" ht="12.75">
      <c r="A114" s="842" t="s">
        <v>1331</v>
      </c>
      <c r="C114" s="845">
        <f>+FJK!H64/1000</f>
        <v>1534.579</v>
      </c>
    </row>
    <row r="115" spans="1:3" ht="12.75">
      <c r="A115" s="842" t="s">
        <v>1389</v>
      </c>
      <c r="C115" s="845">
        <f>-+je!C215/1000</f>
        <v>-254.2895</v>
      </c>
    </row>
    <row r="116" ht="13.5" thickBot="1">
      <c r="C116" s="846">
        <f>SUM(C114:C115)</f>
        <v>1280.2894999999999</v>
      </c>
    </row>
    <row r="117" ht="13.5" thickTop="1">
      <c r="C117" s="844"/>
    </row>
    <row r="118" spans="1:4" ht="13.5" thickBot="1">
      <c r="A118" s="541" t="s">
        <v>1340</v>
      </c>
      <c r="C118" s="848">
        <f>+Y61</f>
        <v>1280.2894999999999</v>
      </c>
      <c r="D118" s="843">
        <f>+C116-C118</f>
        <v>0</v>
      </c>
    </row>
    <row r="119" ht="13.5" thickTop="1">
      <c r="C119" s="844"/>
    </row>
    <row r="120" ht="12.75">
      <c r="C120" s="844"/>
    </row>
    <row r="121" spans="1:3" ht="12.75">
      <c r="A121" s="841" t="s">
        <v>1342</v>
      </c>
      <c r="C121" s="844"/>
    </row>
    <row r="122" spans="1:3" ht="12.75">
      <c r="A122" s="541" t="s">
        <v>318</v>
      </c>
      <c r="C122" s="845">
        <f>+B76</f>
        <v>-285.353</v>
      </c>
    </row>
    <row r="123" spans="1:3" ht="12.75">
      <c r="A123" s="541" t="s">
        <v>517</v>
      </c>
      <c r="C123" s="845">
        <f>+I76</f>
        <v>-0.778</v>
      </c>
    </row>
    <row r="124" spans="1:3" ht="12.75">
      <c r="A124" s="541" t="s">
        <v>518</v>
      </c>
      <c r="C124" s="845">
        <f>+K76+K75</f>
        <v>-2711.127</v>
      </c>
    </row>
    <row r="125" spans="1:3" ht="12.75">
      <c r="A125" s="541" t="s">
        <v>292</v>
      </c>
      <c r="C125" s="845">
        <f>+L76+L75</f>
        <v>-251.48</v>
      </c>
    </row>
    <row r="126" ht="12.75">
      <c r="C126" s="847">
        <f>SUM(C122:C125)</f>
        <v>-3248.738</v>
      </c>
    </row>
    <row r="127" spans="1:3" ht="12.75">
      <c r="A127" s="541" t="s">
        <v>1332</v>
      </c>
      <c r="C127" s="845">
        <f>+FJK!H65/1000</f>
        <v>-153.458</v>
      </c>
    </row>
    <row r="128" ht="13.5" thickBot="1">
      <c r="C128" s="846">
        <f>SUM(C126:C127)</f>
        <v>-3402.196</v>
      </c>
    </row>
    <row r="129" ht="13.5" thickTop="1">
      <c r="C129" s="845"/>
    </row>
    <row r="130" spans="1:4" ht="13.5" thickBot="1">
      <c r="A130" s="541" t="s">
        <v>1340</v>
      </c>
      <c r="C130" s="845">
        <f>+Y76</f>
        <v>-3368.596</v>
      </c>
      <c r="D130" s="845">
        <f>+C128-C130</f>
        <v>-33.59999999999991</v>
      </c>
    </row>
    <row r="131" ht="13.5" thickTop="1">
      <c r="C131" s="849"/>
    </row>
    <row r="132" ht="12.75">
      <c r="C132" s="845"/>
    </row>
    <row r="133" ht="12.75">
      <c r="C133" s="845"/>
    </row>
    <row r="134" ht="12.75">
      <c r="C134" s="845"/>
    </row>
    <row r="135" ht="12.75">
      <c r="C135" s="845"/>
    </row>
    <row r="136" ht="12.75">
      <c r="C136" s="845"/>
    </row>
    <row r="137" ht="12.75">
      <c r="C137" s="845"/>
    </row>
    <row r="138" ht="12.75">
      <c r="C138" s="845"/>
    </row>
  </sheetData>
  <mergeCells count="1">
    <mergeCell ref="W5:X5"/>
  </mergeCells>
  <printOptions horizontalCentered="1" verticalCentered="1"/>
  <pageMargins left="0.1" right="0.1" top="0.1" bottom="0" header="0" footer="0"/>
  <pageSetup horizontalDpi="300" verticalDpi="300" orientation="landscape" paperSize="9" scale="39" r:id="rId3"/>
  <headerFooter alignWithMargins="0">
    <oddHeader>&amp;R&amp;D  &amp;T</oddHeader>
  </headerFooter>
  <rowBreaks count="1" manualBreakCount="1">
    <brk id="88" max="26" man="1"/>
  </rowBreaks>
  <legacyDrawing r:id="rId2"/>
</worksheet>
</file>

<file path=xl/worksheets/sheet17.xml><?xml version="1.0" encoding="utf-8"?>
<worksheet xmlns="http://schemas.openxmlformats.org/spreadsheetml/2006/main" xmlns:r="http://schemas.openxmlformats.org/officeDocument/2006/relationships">
  <dimension ref="A1:W88"/>
  <sheetViews>
    <sheetView workbookViewId="0" topLeftCell="A1">
      <pane xSplit="3" ySplit="6" topLeftCell="L44" activePane="bottomRight" state="frozen"/>
      <selection pane="topLeft" activeCell="A1" sqref="A1"/>
      <selection pane="topRight" activeCell="D1" sqref="D1"/>
      <selection pane="bottomLeft" activeCell="A6" sqref="A6"/>
      <selection pane="bottomRight" activeCell="N68" sqref="N68"/>
    </sheetView>
  </sheetViews>
  <sheetFormatPr defaultColWidth="13.00390625" defaultRowHeight="12.75"/>
  <cols>
    <col min="1" max="1" width="13.8515625" style="368" customWidth="1"/>
    <col min="2" max="2" width="14.28125" style="368" customWidth="1"/>
    <col min="3" max="3" width="15.7109375" style="368" customWidth="1"/>
    <col min="4" max="4" width="15.8515625" style="447" customWidth="1"/>
    <col min="5" max="5" width="14.28125" style="447" customWidth="1"/>
    <col min="6" max="6" width="12.57421875" style="447" customWidth="1"/>
    <col min="7" max="7" width="13.7109375" style="447" bestFit="1" customWidth="1"/>
    <col min="8" max="8" width="13.7109375" style="447" customWidth="1"/>
    <col min="9" max="9" width="15.00390625" style="448" hidden="1" customWidth="1"/>
    <col min="10" max="10" width="14.00390625" style="448" hidden="1" customWidth="1"/>
    <col min="11" max="11" width="14.57421875" style="448" hidden="1" customWidth="1"/>
    <col min="12" max="12" width="15.7109375" style="368" customWidth="1"/>
    <col min="13" max="13" width="15.00390625" style="368" customWidth="1"/>
    <col min="14" max="14" width="13.140625" style="368" customWidth="1"/>
    <col min="15" max="15" width="14.140625" style="375" customWidth="1"/>
    <col min="16" max="16" width="17.00390625" style="368" bestFit="1" customWidth="1"/>
    <col min="17" max="17" width="14.00390625" style="375" customWidth="1"/>
    <col min="18" max="18" width="17.28125" style="368" customWidth="1"/>
    <col min="19" max="19" width="11.8515625" style="368" hidden="1" customWidth="1"/>
    <col min="20" max="20" width="14.00390625" style="368" bestFit="1" customWidth="1"/>
    <col min="21" max="22" width="13.140625" style="368" bestFit="1" customWidth="1"/>
    <col min="23" max="16384" width="13.00390625" style="368" customWidth="1"/>
  </cols>
  <sheetData>
    <row r="1" spans="1:12" ht="12.75">
      <c r="A1" s="368" t="s">
        <v>510</v>
      </c>
      <c r="L1" s="368" t="s">
        <v>262</v>
      </c>
    </row>
    <row r="2" spans="1:13" ht="12.75">
      <c r="A2" s="368" t="s">
        <v>1076</v>
      </c>
      <c r="L2" s="537"/>
      <c r="M2" s="815"/>
    </row>
    <row r="3" spans="1:17" ht="12.75">
      <c r="A3" s="812" t="s">
        <v>1196</v>
      </c>
      <c r="Q3" s="813"/>
    </row>
    <row r="4" spans="1:17" ht="12.75">
      <c r="A4" s="812"/>
      <c r="D4" s="924" t="s">
        <v>94</v>
      </c>
      <c r="E4" s="924" t="s">
        <v>1195</v>
      </c>
      <c r="F4" s="924" t="s">
        <v>94</v>
      </c>
      <c r="G4" s="924" t="s">
        <v>94</v>
      </c>
      <c r="L4" s="816" t="s">
        <v>94</v>
      </c>
      <c r="N4" s="816" t="s">
        <v>94</v>
      </c>
      <c r="O4" s="922" t="s">
        <v>94</v>
      </c>
      <c r="Q4" s="922" t="s">
        <v>1195</v>
      </c>
    </row>
    <row r="5" spans="4:16" ht="12.75">
      <c r="D5" s="817"/>
      <c r="E5" s="817"/>
      <c r="F5" s="817"/>
      <c r="G5" s="817"/>
      <c r="H5" s="449" t="s">
        <v>916</v>
      </c>
      <c r="L5" s="449"/>
      <c r="M5" s="538"/>
      <c r="N5" s="816"/>
      <c r="O5" s="822"/>
      <c r="P5" s="450" t="s">
        <v>917</v>
      </c>
    </row>
    <row r="6" spans="4:18" ht="12.75">
      <c r="D6" s="449" t="s">
        <v>866</v>
      </c>
      <c r="E6" s="449" t="s">
        <v>513</v>
      </c>
      <c r="F6" s="449" t="s">
        <v>320</v>
      </c>
      <c r="G6" s="449" t="s">
        <v>321</v>
      </c>
      <c r="H6" s="449" t="s">
        <v>918</v>
      </c>
      <c r="I6" s="451"/>
      <c r="J6" s="451"/>
      <c r="K6" s="451"/>
      <c r="L6" s="449" t="s">
        <v>517</v>
      </c>
      <c r="M6" s="538" t="s">
        <v>329</v>
      </c>
      <c r="N6" s="450" t="s">
        <v>920</v>
      </c>
      <c r="O6" s="742" t="s">
        <v>350</v>
      </c>
      <c r="P6" s="450" t="s">
        <v>919</v>
      </c>
      <c r="Q6" s="742" t="s">
        <v>318</v>
      </c>
      <c r="R6" s="450" t="s">
        <v>329</v>
      </c>
    </row>
    <row r="7" spans="20:22" ht="12.75">
      <c r="T7" s="375"/>
      <c r="U7" s="375"/>
      <c r="V7" s="375"/>
    </row>
    <row r="8" spans="1:22" ht="12.75">
      <c r="A8" s="368" t="s">
        <v>610</v>
      </c>
      <c r="D8" s="375">
        <v>0</v>
      </c>
      <c r="E8" s="375">
        <v>0</v>
      </c>
      <c r="F8" s="375">
        <v>0</v>
      </c>
      <c r="G8" s="375">
        <v>0</v>
      </c>
      <c r="H8" s="375">
        <f>SUM(D8:G8)</f>
        <v>0</v>
      </c>
      <c r="I8" s="452"/>
      <c r="J8" s="452"/>
      <c r="K8" s="452"/>
      <c r="L8" s="375">
        <v>0</v>
      </c>
      <c r="M8" s="375">
        <f>+L8+H8</f>
        <v>0</v>
      </c>
      <c r="N8" s="375">
        <v>0</v>
      </c>
      <c r="O8" s="375">
        <v>0</v>
      </c>
      <c r="P8" s="375">
        <v>0</v>
      </c>
      <c r="Q8" s="375">
        <v>3715075</v>
      </c>
      <c r="R8" s="375">
        <f aca="true" t="shared" si="0" ref="R8:R13">+L8+P8+Q8+H8</f>
        <v>3715075</v>
      </c>
      <c r="S8" s="453"/>
      <c r="T8" s="375">
        <f>'[1]bs'!$R$7</f>
        <v>3715075</v>
      </c>
      <c r="U8" s="375">
        <f aca="true" t="shared" si="1" ref="U8:U14">R8-T8</f>
        <v>0</v>
      </c>
      <c r="V8" s="375"/>
    </row>
    <row r="9" spans="1:22" ht="12.75">
      <c r="A9" s="368" t="s">
        <v>921</v>
      </c>
      <c r="D9" s="454">
        <v>5000000</v>
      </c>
      <c r="E9" s="460">
        <v>2999997</v>
      </c>
      <c r="F9" s="375">
        <v>6000000</v>
      </c>
      <c r="G9" s="375">
        <v>1500003</v>
      </c>
      <c r="H9" s="375">
        <f>SUM(D9:G9)</f>
        <v>15500000</v>
      </c>
      <c r="I9" s="452"/>
      <c r="J9" s="452"/>
      <c r="K9" s="452"/>
      <c r="L9" s="375">
        <v>4500000</v>
      </c>
      <c r="M9" s="375">
        <f>+L9+H9</f>
        <v>20000000</v>
      </c>
      <c r="N9" s="375">
        <v>2000000</v>
      </c>
      <c r="O9" s="375">
        <v>500000</v>
      </c>
      <c r="P9" s="375">
        <f>SUM(N9:O9)</f>
        <v>2500000</v>
      </c>
      <c r="Q9" s="375">
        <v>53105900</v>
      </c>
      <c r="R9" s="375">
        <f t="shared" si="0"/>
        <v>75605900</v>
      </c>
      <c r="S9" s="453"/>
      <c r="T9" s="375">
        <f>'[1]bs'!$R$8</f>
        <v>75575900</v>
      </c>
      <c r="U9" s="375">
        <f t="shared" si="1"/>
        <v>30000</v>
      </c>
      <c r="V9" s="375"/>
    </row>
    <row r="10" spans="1:22" ht="12.75">
      <c r="A10" s="368" t="s">
        <v>922</v>
      </c>
      <c r="D10" s="454">
        <v>0</v>
      </c>
      <c r="E10" s="460">
        <v>0</v>
      </c>
      <c r="F10" s="375">
        <v>201762</v>
      </c>
      <c r="G10" s="375">
        <v>0</v>
      </c>
      <c r="H10" s="375">
        <f>SUM(D10:G10)</f>
        <v>201762</v>
      </c>
      <c r="I10" s="452"/>
      <c r="J10" s="452"/>
      <c r="K10" s="452"/>
      <c r="L10" s="375">
        <v>0</v>
      </c>
      <c r="M10" s="375">
        <f>+L10+H10</f>
        <v>201762</v>
      </c>
      <c r="N10" s="375">
        <v>856000</v>
      </c>
      <c r="O10" s="375">
        <v>1607459</v>
      </c>
      <c r="P10" s="375">
        <f>SUM(N10:O10)</f>
        <v>2463459</v>
      </c>
      <c r="Q10" s="375">
        <f>84103252-194769</f>
        <v>83908483</v>
      </c>
      <c r="R10" s="375">
        <f t="shared" si="0"/>
        <v>86573704</v>
      </c>
      <c r="S10" s="453"/>
      <c r="T10" s="375">
        <f>'[1]bs'!$R$9</f>
        <v>2665222</v>
      </c>
      <c r="U10" s="375">
        <f t="shared" si="1"/>
        <v>83908482</v>
      </c>
      <c r="V10" s="375"/>
    </row>
    <row r="11" spans="1:22" ht="12.75">
      <c r="A11" s="368" t="s">
        <v>923</v>
      </c>
      <c r="D11" s="454">
        <v>-23577828</v>
      </c>
      <c r="E11" s="460">
        <v>-17902824</v>
      </c>
      <c r="F11" s="375">
        <f>-9159383-192891</f>
        <v>-9352274</v>
      </c>
      <c r="G11" s="375">
        <v>-757212</v>
      </c>
      <c r="H11" s="375">
        <f>SUM(D11:G11)</f>
        <v>-51590138</v>
      </c>
      <c r="I11" s="452"/>
      <c r="J11" s="452"/>
      <c r="K11" s="452"/>
      <c r="L11" s="375">
        <v>-3425269</v>
      </c>
      <c r="M11" s="375">
        <f>+L11+H11</f>
        <v>-55015407</v>
      </c>
      <c r="N11" s="375">
        <f>103982131</f>
        <v>103982131</v>
      </c>
      <c r="O11" s="375">
        <v>18208873</v>
      </c>
      <c r="P11" s="375">
        <f>SUM(N11:O11)</f>
        <v>122191004</v>
      </c>
      <c r="Q11" s="375">
        <v>-62255843</v>
      </c>
      <c r="R11" s="375">
        <f t="shared" si="0"/>
        <v>4919754</v>
      </c>
      <c r="S11" s="453"/>
      <c r="T11" s="375">
        <f>'[1]bs'!$R$10</f>
        <v>4919751.61999999</v>
      </c>
      <c r="U11" s="375">
        <f t="shared" si="1"/>
        <v>2.3800000101327896</v>
      </c>
      <c r="V11" s="375"/>
    </row>
    <row r="12" spans="1:22" ht="12.75">
      <c r="A12" s="368" t="s">
        <v>247</v>
      </c>
      <c r="D12" s="454"/>
      <c r="E12" s="460"/>
      <c r="F12" s="375"/>
      <c r="G12" s="375"/>
      <c r="H12" s="375"/>
      <c r="I12" s="452"/>
      <c r="J12" s="452"/>
      <c r="K12" s="452"/>
      <c r="L12" s="375"/>
      <c r="M12" s="375"/>
      <c r="N12" s="375">
        <v>0</v>
      </c>
      <c r="P12" s="375">
        <f>SUM(N12:O12)</f>
        <v>0</v>
      </c>
      <c r="R12" s="375">
        <f t="shared" si="0"/>
        <v>0</v>
      </c>
      <c r="S12" s="453"/>
      <c r="T12" s="375">
        <f>'[1]bs'!$R$11</f>
        <v>144000</v>
      </c>
      <c r="U12" s="375">
        <f t="shared" si="1"/>
        <v>-144000</v>
      </c>
      <c r="V12" s="375"/>
    </row>
    <row r="13" spans="1:22" ht="12.75">
      <c r="A13" s="368" t="s">
        <v>924</v>
      </c>
      <c r="D13" s="375">
        <f>'P&amp;L'!C78*1000</f>
        <v>-55588.999999999985</v>
      </c>
      <c r="E13" s="540">
        <f>'P&amp;L'!D78*1000</f>
        <v>459347.0000000003</v>
      </c>
      <c r="F13" s="375">
        <f>+pl!J52*1000</f>
        <v>12360.999999999996</v>
      </c>
      <c r="G13" s="375">
        <f>'P&amp;L'!E78*1000</f>
        <v>13372.999999999998</v>
      </c>
      <c r="H13" s="375">
        <f>SUM(D13:G13)</f>
        <v>429492.0000000003</v>
      </c>
      <c r="I13" s="452"/>
      <c r="J13" s="452"/>
      <c r="K13" s="452"/>
      <c r="L13" s="375">
        <f>'P&amp;L'!I78*1000</f>
        <v>-427461</v>
      </c>
      <c r="M13" s="375">
        <f>+L13+H13</f>
        <v>2031.000000000291</v>
      </c>
      <c r="N13" s="375">
        <f>pl!O52*1000</f>
        <v>17451217.999999996</v>
      </c>
      <c r="O13" s="375">
        <f>'P&amp;L'!L78*1000</f>
        <v>2003704.0000000065</v>
      </c>
      <c r="P13" s="375">
        <f>SUM(N13:O13)</f>
        <v>19454922.000000004</v>
      </c>
      <c r="Q13" s="375">
        <f>'P&amp;L'!B87*1000</f>
        <v>1065377.9999999998</v>
      </c>
      <c r="R13" s="375">
        <f t="shared" si="0"/>
        <v>20522331.000000004</v>
      </c>
      <c r="S13" s="453"/>
      <c r="T13" s="375">
        <f>'[1]bs'!$R$12</f>
        <v>6730423.58</v>
      </c>
      <c r="U13" s="375">
        <f t="shared" si="1"/>
        <v>13791907.420000004</v>
      </c>
      <c r="V13" s="375"/>
    </row>
    <row r="14" spans="4:23" ht="13.5" thickBot="1">
      <c r="D14" s="455">
        <f>SUM(D8:D13)</f>
        <v>-18633417</v>
      </c>
      <c r="E14" s="455">
        <f>SUM(E8:E13)</f>
        <v>-14443480</v>
      </c>
      <c r="F14" s="455">
        <f aca="true" t="shared" si="2" ref="F14:Q14">SUM(F8:F13)</f>
        <v>-3138151</v>
      </c>
      <c r="G14" s="455">
        <f>SUM(G8:G13)</f>
        <v>756164</v>
      </c>
      <c r="H14" s="455">
        <f>SUM(H8:H13)</f>
        <v>-35458884</v>
      </c>
      <c r="I14" s="455"/>
      <c r="J14" s="455"/>
      <c r="K14" s="455"/>
      <c r="L14" s="455">
        <f t="shared" si="2"/>
        <v>647270</v>
      </c>
      <c r="M14" s="455">
        <f t="shared" si="2"/>
        <v>-34811614</v>
      </c>
      <c r="N14" s="455">
        <f>SUM(N8:N13)</f>
        <v>124289349</v>
      </c>
      <c r="O14" s="455">
        <f t="shared" si="2"/>
        <v>22320036.000000007</v>
      </c>
      <c r="P14" s="455">
        <f t="shared" si="2"/>
        <v>146609385</v>
      </c>
      <c r="Q14" s="455">
        <f t="shared" si="2"/>
        <v>79538993</v>
      </c>
      <c r="R14" s="455">
        <f>SUM(R8:R13)</f>
        <v>191336764</v>
      </c>
      <c r="S14" s="453"/>
      <c r="T14" s="375">
        <f>'[1]bs'!$R$13</f>
        <v>93750372.19999999</v>
      </c>
      <c r="U14" s="375">
        <f t="shared" si="1"/>
        <v>97586391.80000001</v>
      </c>
      <c r="V14" s="375">
        <f>(pl!S52*1000)-('[1]pl'!$S$50*1000)</f>
        <v>13791907.420000002</v>
      </c>
      <c r="W14" s="453">
        <f>U14-V14</f>
        <v>83794484.38000001</v>
      </c>
    </row>
    <row r="15" spans="4:22" ht="13.5" thickTop="1">
      <c r="D15" s="454"/>
      <c r="E15" s="454"/>
      <c r="F15" s="454"/>
      <c r="G15" s="454"/>
      <c r="H15" s="454"/>
      <c r="I15" s="456"/>
      <c r="J15" s="456"/>
      <c r="K15" s="456"/>
      <c r="L15" s="454"/>
      <c r="M15" s="454"/>
      <c r="N15" s="375"/>
      <c r="P15" s="375"/>
      <c r="R15" s="375"/>
      <c r="S15" s="453"/>
      <c r="T15" s="375"/>
      <c r="U15" s="375"/>
      <c r="V15" s="375"/>
    </row>
    <row r="16" spans="1:22" ht="12.75">
      <c r="A16" s="368" t="s">
        <v>928</v>
      </c>
      <c r="D16" s="457">
        <v>1</v>
      </c>
      <c r="E16" s="457">
        <v>0.93</v>
      </c>
      <c r="F16" s="457">
        <v>1</v>
      </c>
      <c r="G16" s="457">
        <v>1</v>
      </c>
      <c r="H16" s="457"/>
      <c r="I16" s="458"/>
      <c r="J16" s="458"/>
      <c r="K16" s="458"/>
      <c r="L16" s="457">
        <v>1</v>
      </c>
      <c r="M16" s="539"/>
      <c r="N16" s="457">
        <v>0.6</v>
      </c>
      <c r="O16" s="457">
        <v>0.6</v>
      </c>
      <c r="P16" s="457"/>
      <c r="Q16" s="743">
        <v>1</v>
      </c>
      <c r="R16" s="459"/>
      <c r="S16" s="453"/>
      <c r="T16" s="466"/>
      <c r="U16" s="466"/>
      <c r="V16" s="466"/>
    </row>
    <row r="17" spans="4:19" ht="12.75">
      <c r="D17" s="454"/>
      <c r="E17" s="454"/>
      <c r="F17" s="454"/>
      <c r="G17" s="454"/>
      <c r="H17" s="454"/>
      <c r="I17" s="456"/>
      <c r="J17" s="456"/>
      <c r="K17" s="456"/>
      <c r="L17" s="454"/>
      <c r="M17" s="454"/>
      <c r="N17" s="375"/>
      <c r="P17" s="375"/>
      <c r="R17" s="375"/>
      <c r="S17" s="453"/>
    </row>
    <row r="18" spans="1:19" ht="12.75">
      <c r="A18" s="368" t="s">
        <v>929</v>
      </c>
      <c r="D18" s="460">
        <f>+D14*D16</f>
        <v>-18633417</v>
      </c>
      <c r="E18" s="460">
        <f>+E14*E16</f>
        <v>-13432436.4</v>
      </c>
      <c r="F18" s="460">
        <f>+F14*F16</f>
        <v>-3138151</v>
      </c>
      <c r="G18" s="460">
        <f>+G14*G16</f>
        <v>756164</v>
      </c>
      <c r="H18" s="460">
        <f>SUM(D18:G18)</f>
        <v>-34447840.4</v>
      </c>
      <c r="I18" s="460"/>
      <c r="J18" s="460"/>
      <c r="K18" s="460"/>
      <c r="L18" s="460">
        <f>+L14*L16</f>
        <v>647270</v>
      </c>
      <c r="M18" s="540">
        <f>+L18+H18</f>
        <v>-33800570.4</v>
      </c>
      <c r="N18" s="460">
        <f>+N14*N16</f>
        <v>74573609.39999999</v>
      </c>
      <c r="O18" s="460">
        <f>+O14*O16</f>
        <v>13392021.600000003</v>
      </c>
      <c r="P18" s="460">
        <f>SUM(N18:O18)</f>
        <v>87965631</v>
      </c>
      <c r="Q18" s="460">
        <f>+Q14*Q16</f>
        <v>79538993</v>
      </c>
      <c r="R18" s="460">
        <f>+L18+P18+Q18+H18</f>
        <v>133704053.6</v>
      </c>
      <c r="S18" s="453"/>
    </row>
    <row r="19" spans="4:19" ht="12.75">
      <c r="D19" s="454"/>
      <c r="E19" s="454"/>
      <c r="F19" s="454"/>
      <c r="G19" s="454"/>
      <c r="H19" s="454"/>
      <c r="I19" s="456"/>
      <c r="J19" s="456"/>
      <c r="K19" s="456"/>
      <c r="L19" s="454"/>
      <c r="M19" s="454"/>
      <c r="N19" s="375"/>
      <c r="P19" s="375"/>
      <c r="R19" s="375"/>
      <c r="S19" s="453"/>
    </row>
    <row r="20" spans="1:19" ht="12.75">
      <c r="A20" s="368" t="s">
        <v>264</v>
      </c>
      <c r="D20" s="460">
        <f>16074720</f>
        <v>16074720</v>
      </c>
      <c r="E20" s="454">
        <v>15669680</v>
      </c>
      <c r="F20" s="454">
        <v>1936447</v>
      </c>
      <c r="G20" s="454">
        <v>-744085</v>
      </c>
      <c r="H20" s="454">
        <f>SUM(D20:G20)</f>
        <v>32936762</v>
      </c>
      <c r="I20" s="456"/>
      <c r="J20" s="456"/>
      <c r="K20" s="456"/>
      <c r="L20" s="375">
        <f>138694.06-138694.06</f>
        <v>0</v>
      </c>
      <c r="M20" s="375">
        <f>+L20+H20</f>
        <v>32936762</v>
      </c>
      <c r="N20" s="375">
        <v>-12000000</v>
      </c>
      <c r="O20" s="375">
        <v>0</v>
      </c>
      <c r="P20" s="375">
        <f>SUM(N20:O20)</f>
        <v>-12000000</v>
      </c>
      <c r="Q20" s="454"/>
      <c r="R20" s="375">
        <f>+L20+P20+Q20+H20</f>
        <v>20936762</v>
      </c>
      <c r="S20" s="453"/>
    </row>
    <row r="21" spans="4:19" ht="12.75">
      <c r="D21" s="454"/>
      <c r="E21" s="454"/>
      <c r="F21" s="454"/>
      <c r="G21" s="454"/>
      <c r="H21" s="454"/>
      <c r="I21" s="456"/>
      <c r="J21" s="456"/>
      <c r="K21" s="456"/>
      <c r="L21" s="454"/>
      <c r="M21" s="454"/>
      <c r="N21" s="375"/>
      <c r="P21" s="375"/>
      <c r="R21" s="375"/>
      <c r="S21" s="453"/>
    </row>
    <row r="22" spans="1:19" ht="12.75">
      <c r="A22" s="368" t="s">
        <v>930</v>
      </c>
      <c r="D22" s="454">
        <v>0</v>
      </c>
      <c r="E22" s="454">
        <v>0</v>
      </c>
      <c r="F22" s="454">
        <v>0</v>
      </c>
      <c r="G22" s="454">
        <v>0</v>
      </c>
      <c r="H22" s="454">
        <f>SUM(D22:G22)</f>
        <v>0</v>
      </c>
      <c r="I22" s="456"/>
      <c r="J22" s="456"/>
      <c r="K22" s="456"/>
      <c r="L22" s="375">
        <v>0</v>
      </c>
      <c r="M22" s="375">
        <f>+L22+H22</f>
        <v>0</v>
      </c>
      <c r="N22" s="375"/>
      <c r="P22" s="375">
        <v>0</v>
      </c>
      <c r="R22" s="375">
        <f>+L22+P22+Q22+H22</f>
        <v>0</v>
      </c>
      <c r="S22" s="453"/>
    </row>
    <row r="23" spans="4:19" ht="12.75">
      <c r="D23" s="454"/>
      <c r="E23" s="454"/>
      <c r="F23" s="454"/>
      <c r="G23" s="454"/>
      <c r="H23" s="454"/>
      <c r="I23" s="456"/>
      <c r="J23" s="456"/>
      <c r="K23" s="456"/>
      <c r="L23" s="375"/>
      <c r="M23" s="375"/>
      <c r="N23" s="375"/>
      <c r="P23" s="375"/>
      <c r="R23" s="375"/>
      <c r="S23" s="453"/>
    </row>
    <row r="24" spans="1:19" ht="12.75">
      <c r="A24" s="368" t="s">
        <v>931</v>
      </c>
      <c r="D24" s="454"/>
      <c r="E24" s="454"/>
      <c r="F24" s="454"/>
      <c r="G24" s="454"/>
      <c r="H24" s="454"/>
      <c r="I24" s="456"/>
      <c r="J24" s="456"/>
      <c r="K24" s="456"/>
      <c r="L24" s="375"/>
      <c r="M24" s="375"/>
      <c r="N24" s="375"/>
      <c r="P24" s="375"/>
      <c r="R24" s="375"/>
      <c r="S24" s="453"/>
    </row>
    <row r="25" spans="2:19" ht="12.75">
      <c r="B25" s="368" t="s">
        <v>318</v>
      </c>
      <c r="D25" s="466">
        <v>0</v>
      </c>
      <c r="E25" s="454">
        <v>0</v>
      </c>
      <c r="F25" s="454">
        <v>0</v>
      </c>
      <c r="G25" s="454">
        <v>0</v>
      </c>
      <c r="H25" s="454">
        <f>SUM(D25:G25)</f>
        <v>0</v>
      </c>
      <c r="I25" s="456"/>
      <c r="J25" s="456"/>
      <c r="K25" s="456"/>
      <c r="L25" s="375">
        <v>0</v>
      </c>
      <c r="M25" s="375">
        <f aca="true" t="shared" si="3" ref="M25:M43">+L25+H25</f>
        <v>0</v>
      </c>
      <c r="N25" s="375">
        <v>393995</v>
      </c>
      <c r="O25" s="375">
        <v>0</v>
      </c>
      <c r="P25" s="375">
        <f aca="true" t="shared" si="4" ref="P25:P43">SUM(N25:O25)</f>
        <v>393995</v>
      </c>
      <c r="Q25" s="375">
        <v>0</v>
      </c>
      <c r="R25" s="375">
        <f aca="true" t="shared" si="5" ref="R25:R44">+L25+P25+Q25+H25</f>
        <v>393995</v>
      </c>
      <c r="S25" s="453"/>
    </row>
    <row r="26" spans="2:19" ht="12.75">
      <c r="B26" s="368" t="s">
        <v>513</v>
      </c>
      <c r="D26" s="454">
        <f>-18771+1340284</f>
        <v>1321513</v>
      </c>
      <c r="E26" s="454">
        <v>0</v>
      </c>
      <c r="F26" s="454">
        <v>2614087</v>
      </c>
      <c r="G26" s="454">
        <v>0</v>
      </c>
      <c r="H26" s="454">
        <f>SUM(D26:G26)</f>
        <v>3935600</v>
      </c>
      <c r="I26" s="456"/>
      <c r="J26" s="456"/>
      <c r="K26" s="456"/>
      <c r="L26" s="375">
        <f>-(384400+38055)</f>
        <v>-422455</v>
      </c>
      <c r="M26" s="375">
        <f t="shared" si="3"/>
        <v>3513145</v>
      </c>
      <c r="N26" s="375">
        <v>850</v>
      </c>
      <c r="O26" s="375">
        <v>0</v>
      </c>
      <c r="P26" s="375">
        <f t="shared" si="4"/>
        <v>850</v>
      </c>
      <c r="Q26" s="375">
        <v>5559783</v>
      </c>
      <c r="R26" s="375">
        <f t="shared" si="5"/>
        <v>9073778</v>
      </c>
      <c r="S26" s="453"/>
    </row>
    <row r="27" spans="2:19" ht="12.75">
      <c r="B27" s="368" t="s">
        <v>515</v>
      </c>
      <c r="D27" s="454">
        <v>439104</v>
      </c>
      <c r="E27" s="454">
        <v>22600</v>
      </c>
      <c r="F27" s="454">
        <v>0</v>
      </c>
      <c r="G27" s="454">
        <v>0</v>
      </c>
      <c r="H27" s="454">
        <f aca="true" t="shared" si="6" ref="H27:H43">SUM(D27:G27)</f>
        <v>461704</v>
      </c>
      <c r="I27" s="456"/>
      <c r="J27" s="456"/>
      <c r="K27" s="456"/>
      <c r="L27" s="375">
        <v>0</v>
      </c>
      <c r="M27" s="375">
        <f t="shared" si="3"/>
        <v>461704</v>
      </c>
      <c r="N27" s="375">
        <v>0</v>
      </c>
      <c r="O27" s="375">
        <v>0</v>
      </c>
      <c r="P27" s="375">
        <f t="shared" si="4"/>
        <v>0</v>
      </c>
      <c r="Q27" s="375">
        <v>-162778</v>
      </c>
      <c r="R27" s="375">
        <f t="shared" si="5"/>
        <v>298926</v>
      </c>
      <c r="S27" s="453"/>
    </row>
    <row r="28" spans="2:19" ht="12.75">
      <c r="B28" s="368" t="s">
        <v>514</v>
      </c>
      <c r="D28" s="454">
        <v>0</v>
      </c>
      <c r="E28" s="454">
        <v>-334299</v>
      </c>
      <c r="F28" s="454">
        <v>0</v>
      </c>
      <c r="G28" s="454">
        <v>0</v>
      </c>
      <c r="H28" s="454">
        <f t="shared" si="6"/>
        <v>-334299</v>
      </c>
      <c r="I28" s="456"/>
      <c r="J28" s="456"/>
      <c r="K28" s="456"/>
      <c r="L28" s="375">
        <v>0</v>
      </c>
      <c r="M28" s="375">
        <f t="shared" si="3"/>
        <v>-334299</v>
      </c>
      <c r="N28" s="375">
        <v>0</v>
      </c>
      <c r="O28" s="375">
        <v>0</v>
      </c>
      <c r="P28" s="375">
        <f t="shared" si="4"/>
        <v>0</v>
      </c>
      <c r="Q28" s="375">
        <v>-743936</v>
      </c>
      <c r="R28" s="375">
        <f t="shared" si="5"/>
        <v>-1078235</v>
      </c>
      <c r="S28" s="453"/>
    </row>
    <row r="29" spans="2:19" ht="12.75">
      <c r="B29" s="368" t="s">
        <v>932</v>
      </c>
      <c r="D29" s="454">
        <v>0</v>
      </c>
      <c r="E29" s="454">
        <v>0</v>
      </c>
      <c r="F29" s="454">
        <v>0</v>
      </c>
      <c r="G29" s="454">
        <v>0</v>
      </c>
      <c r="H29" s="454">
        <f t="shared" si="6"/>
        <v>0</v>
      </c>
      <c r="I29" s="456"/>
      <c r="J29" s="456"/>
      <c r="K29" s="456"/>
      <c r="L29" s="375">
        <v>0</v>
      </c>
      <c r="M29" s="375">
        <f t="shared" si="3"/>
        <v>0</v>
      </c>
      <c r="N29" s="375">
        <v>0</v>
      </c>
      <c r="O29" s="375">
        <v>0</v>
      </c>
      <c r="P29" s="375">
        <f t="shared" si="4"/>
        <v>0</v>
      </c>
      <c r="Q29" s="375">
        <v>89997</v>
      </c>
      <c r="R29" s="375">
        <f t="shared" si="5"/>
        <v>89997</v>
      </c>
      <c r="S29" s="453">
        <v>-19669356.47</v>
      </c>
    </row>
    <row r="30" spans="2:19" ht="12.75">
      <c r="B30" s="368" t="s">
        <v>516</v>
      </c>
      <c r="D30" s="454">
        <v>0</v>
      </c>
      <c r="E30" s="454">
        <v>0</v>
      </c>
      <c r="F30" s="454">
        <v>0</v>
      </c>
      <c r="G30" s="454">
        <v>0</v>
      </c>
      <c r="H30" s="454">
        <f t="shared" si="6"/>
        <v>0</v>
      </c>
      <c r="I30" s="456"/>
      <c r="J30" s="456"/>
      <c r="K30" s="456"/>
      <c r="L30" s="375">
        <v>0</v>
      </c>
      <c r="M30" s="375">
        <f t="shared" si="3"/>
        <v>0</v>
      </c>
      <c r="N30" s="375">
        <v>0</v>
      </c>
      <c r="O30" s="375">
        <v>0</v>
      </c>
      <c r="P30" s="375">
        <f t="shared" si="4"/>
        <v>0</v>
      </c>
      <c r="Q30" s="375">
        <v>-4243618</v>
      </c>
      <c r="R30" s="375">
        <f t="shared" si="5"/>
        <v>-4243618</v>
      </c>
      <c r="S30" s="453">
        <v>5870593.51</v>
      </c>
    </row>
    <row r="31" spans="2:19" ht="12.75">
      <c r="B31" s="368" t="s">
        <v>517</v>
      </c>
      <c r="D31" s="454">
        <v>0</v>
      </c>
      <c r="E31" s="454">
        <v>38055</v>
      </c>
      <c r="F31" s="454">
        <v>0</v>
      </c>
      <c r="G31" s="454">
        <v>0</v>
      </c>
      <c r="H31" s="454">
        <f t="shared" si="6"/>
        <v>38055</v>
      </c>
      <c r="I31" s="456"/>
      <c r="J31" s="456"/>
      <c r="K31" s="456"/>
      <c r="L31" s="375">
        <v>0</v>
      </c>
      <c r="M31" s="375">
        <f t="shared" si="3"/>
        <v>38055</v>
      </c>
      <c r="N31" s="375">
        <v>-2212</v>
      </c>
      <c r="O31" s="375">
        <v>0</v>
      </c>
      <c r="P31" s="375">
        <f t="shared" si="4"/>
        <v>-2212</v>
      </c>
      <c r="Q31" s="375">
        <v>-608</v>
      </c>
      <c r="R31" s="375">
        <f t="shared" si="5"/>
        <v>35235</v>
      </c>
      <c r="S31" s="453"/>
    </row>
    <row r="32" spans="2:19" ht="12.75">
      <c r="B32" s="368" t="s">
        <v>518</v>
      </c>
      <c r="D32" s="454">
        <v>0</v>
      </c>
      <c r="E32" s="454">
        <v>0</v>
      </c>
      <c r="F32" s="454">
        <v>-208</v>
      </c>
      <c r="G32" s="454">
        <v>0</v>
      </c>
      <c r="H32" s="454">
        <f t="shared" si="6"/>
        <v>-208</v>
      </c>
      <c r="I32" s="456"/>
      <c r="J32" s="456"/>
      <c r="K32" s="456"/>
      <c r="L32" s="375">
        <v>2212</v>
      </c>
      <c r="M32" s="375">
        <f t="shared" si="3"/>
        <v>2004</v>
      </c>
      <c r="N32" s="375">
        <v>0</v>
      </c>
      <c r="O32" s="375">
        <v>-4727979</v>
      </c>
      <c r="P32" s="375">
        <f t="shared" si="4"/>
        <v>-4727979</v>
      </c>
      <c r="Q32" s="375">
        <v>-11606005</v>
      </c>
      <c r="R32" s="375">
        <f t="shared" si="5"/>
        <v>-16331980</v>
      </c>
      <c r="S32" s="453"/>
    </row>
    <row r="33" spans="2:19" ht="12.75">
      <c r="B33" s="368" t="s">
        <v>933</v>
      </c>
      <c r="D33" s="454">
        <v>0</v>
      </c>
      <c r="E33" s="454">
        <v>90000</v>
      </c>
      <c r="F33" s="454">
        <v>0</v>
      </c>
      <c r="G33" s="454">
        <v>0</v>
      </c>
      <c r="H33" s="454">
        <f t="shared" si="6"/>
        <v>90000</v>
      </c>
      <c r="I33" s="456"/>
      <c r="J33" s="456"/>
      <c r="K33" s="456"/>
      <c r="L33" s="375">
        <v>0</v>
      </c>
      <c r="M33" s="375">
        <f t="shared" si="3"/>
        <v>90000</v>
      </c>
      <c r="N33" s="375">
        <v>3671979</v>
      </c>
      <c r="O33" s="375">
        <v>0</v>
      </c>
      <c r="P33" s="375">
        <f t="shared" si="4"/>
        <v>3671979</v>
      </c>
      <c r="R33" s="375">
        <f t="shared" si="5"/>
        <v>3761979</v>
      </c>
      <c r="S33" s="453"/>
    </row>
    <row r="34" spans="2:19" ht="12.75">
      <c r="B34" s="368" t="s">
        <v>934</v>
      </c>
      <c r="D34" s="454">
        <v>0</v>
      </c>
      <c r="E34" s="454">
        <v>0</v>
      </c>
      <c r="F34" s="454">
        <v>0</v>
      </c>
      <c r="G34" s="454">
        <v>0</v>
      </c>
      <c r="H34" s="454">
        <f t="shared" si="6"/>
        <v>0</v>
      </c>
      <c r="I34" s="456"/>
      <c r="J34" s="456"/>
      <c r="K34" s="456"/>
      <c r="L34" s="375">
        <v>0</v>
      </c>
      <c r="M34" s="375">
        <f t="shared" si="3"/>
        <v>0</v>
      </c>
      <c r="N34" s="375">
        <v>0</v>
      </c>
      <c r="O34" s="375">
        <v>0</v>
      </c>
      <c r="P34" s="375">
        <f t="shared" si="4"/>
        <v>0</v>
      </c>
      <c r="Q34" s="375">
        <v>6058</v>
      </c>
      <c r="R34" s="375">
        <f t="shared" si="5"/>
        <v>6058</v>
      </c>
      <c r="S34" s="453"/>
    </row>
    <row r="35" spans="2:19" ht="12.75">
      <c r="B35" s="368" t="s">
        <v>935</v>
      </c>
      <c r="D35" s="454">
        <v>0</v>
      </c>
      <c r="E35" s="454">
        <v>18771</v>
      </c>
      <c r="F35" s="454">
        <f>-(439104-364685)</f>
        <v>-74419</v>
      </c>
      <c r="G35" s="454">
        <v>0</v>
      </c>
      <c r="H35" s="454">
        <f t="shared" si="6"/>
        <v>-55648</v>
      </c>
      <c r="I35" s="456"/>
      <c r="J35" s="456"/>
      <c r="K35" s="456"/>
      <c r="L35" s="375">
        <v>0</v>
      </c>
      <c r="M35" s="375">
        <f t="shared" si="3"/>
        <v>-55648</v>
      </c>
      <c r="N35" s="375">
        <v>-900</v>
      </c>
      <c r="O35" s="375">
        <v>0</v>
      </c>
      <c r="P35" s="375">
        <f t="shared" si="4"/>
        <v>-900</v>
      </c>
      <c r="Q35" s="375">
        <v>-203162</v>
      </c>
      <c r="R35" s="375">
        <f t="shared" si="5"/>
        <v>-259710</v>
      </c>
      <c r="S35" s="453"/>
    </row>
    <row r="36" spans="2:19" ht="12.75">
      <c r="B36" s="368" t="s">
        <v>325</v>
      </c>
      <c r="D36" s="375">
        <v>0</v>
      </c>
      <c r="E36" s="375">
        <v>0</v>
      </c>
      <c r="F36" s="375">
        <v>0</v>
      </c>
      <c r="G36" s="375">
        <v>0</v>
      </c>
      <c r="H36" s="454">
        <f t="shared" si="6"/>
        <v>0</v>
      </c>
      <c r="I36" s="456"/>
      <c r="J36" s="456"/>
      <c r="K36" s="456"/>
      <c r="L36" s="375">
        <v>0</v>
      </c>
      <c r="M36" s="375">
        <f t="shared" si="3"/>
        <v>0</v>
      </c>
      <c r="N36" s="375">
        <v>0</v>
      </c>
      <c r="O36" s="375">
        <v>0</v>
      </c>
      <c r="P36" s="375">
        <f t="shared" si="4"/>
        <v>0</v>
      </c>
      <c r="Q36" s="375">
        <v>1582233</v>
      </c>
      <c r="R36" s="375">
        <f t="shared" si="5"/>
        <v>1582233</v>
      </c>
      <c r="S36" s="453"/>
    </row>
    <row r="37" spans="2:19" ht="12.75">
      <c r="B37" s="368" t="s">
        <v>221</v>
      </c>
      <c r="D37" s="375">
        <v>0</v>
      </c>
      <c r="E37" s="375">
        <v>0</v>
      </c>
      <c r="F37" s="375">
        <v>0</v>
      </c>
      <c r="G37" s="375">
        <v>0</v>
      </c>
      <c r="H37" s="454">
        <f t="shared" si="6"/>
        <v>0</v>
      </c>
      <c r="I37" s="456"/>
      <c r="J37" s="456"/>
      <c r="K37" s="456"/>
      <c r="L37" s="375">
        <v>0</v>
      </c>
      <c r="M37" s="375">
        <f t="shared" si="3"/>
        <v>0</v>
      </c>
      <c r="N37" s="375">
        <v>0</v>
      </c>
      <c r="O37" s="375">
        <v>0</v>
      </c>
      <c r="P37" s="375">
        <f t="shared" si="4"/>
        <v>0</v>
      </c>
      <c r="Q37" s="375">
        <v>-6693.31</v>
      </c>
      <c r="R37" s="375">
        <f t="shared" si="5"/>
        <v>-6693.31</v>
      </c>
      <c r="S37" s="453"/>
    </row>
    <row r="38" spans="2:19" ht="12.75">
      <c r="B38" s="368" t="s">
        <v>301</v>
      </c>
      <c r="D38" s="375">
        <v>0</v>
      </c>
      <c r="E38" s="375">
        <v>0</v>
      </c>
      <c r="F38" s="375">
        <v>0</v>
      </c>
      <c r="G38" s="375">
        <v>0</v>
      </c>
      <c r="H38" s="454">
        <f t="shared" si="6"/>
        <v>0</v>
      </c>
      <c r="I38" s="456"/>
      <c r="J38" s="456"/>
      <c r="K38" s="456"/>
      <c r="L38" s="375">
        <v>0</v>
      </c>
      <c r="M38" s="375">
        <f t="shared" si="3"/>
        <v>0</v>
      </c>
      <c r="N38" s="375">
        <v>-24738</v>
      </c>
      <c r="O38" s="375">
        <v>0</v>
      </c>
      <c r="P38" s="375">
        <f t="shared" si="4"/>
        <v>-24738</v>
      </c>
      <c r="Q38" s="375">
        <v>0</v>
      </c>
      <c r="R38" s="375">
        <f t="shared" si="5"/>
        <v>-24738</v>
      </c>
      <c r="S38" s="453"/>
    </row>
    <row r="39" spans="2:19" ht="12.75">
      <c r="B39" s="368" t="s">
        <v>324</v>
      </c>
      <c r="D39" s="375">
        <v>1134165</v>
      </c>
      <c r="E39" s="375">
        <v>0</v>
      </c>
      <c r="F39" s="375">
        <v>592896</v>
      </c>
      <c r="G39" s="375">
        <v>0</v>
      </c>
      <c r="H39" s="454">
        <f t="shared" si="6"/>
        <v>1727061</v>
      </c>
      <c r="I39" s="456"/>
      <c r="J39" s="456"/>
      <c r="K39" s="456"/>
      <c r="L39" s="375">
        <v>0</v>
      </c>
      <c r="M39" s="375">
        <f t="shared" si="3"/>
        <v>1727061</v>
      </c>
      <c r="N39" s="375">
        <v>0</v>
      </c>
      <c r="O39" s="375">
        <v>0</v>
      </c>
      <c r="P39" s="375">
        <f t="shared" si="4"/>
        <v>0</v>
      </c>
      <c r="Q39" s="375">
        <v>33370</v>
      </c>
      <c r="R39" s="375">
        <f t="shared" si="5"/>
        <v>1760431</v>
      </c>
      <c r="S39" s="453"/>
    </row>
    <row r="40" spans="2:19" ht="12.75">
      <c r="B40" s="368" t="s">
        <v>936</v>
      </c>
      <c r="D40" s="454">
        <v>0</v>
      </c>
      <c r="E40" s="454">
        <v>0</v>
      </c>
      <c r="F40" s="454">
        <v>0</v>
      </c>
      <c r="G40" s="454">
        <v>0</v>
      </c>
      <c r="H40" s="454">
        <f t="shared" si="6"/>
        <v>0</v>
      </c>
      <c r="I40" s="456"/>
      <c r="J40" s="456"/>
      <c r="K40" s="456"/>
      <c r="L40" s="375">
        <v>0</v>
      </c>
      <c r="M40" s="375">
        <f t="shared" si="3"/>
        <v>0</v>
      </c>
      <c r="N40" s="375">
        <v>0</v>
      </c>
      <c r="O40" s="375">
        <v>0</v>
      </c>
      <c r="P40" s="375">
        <f t="shared" si="4"/>
        <v>0</v>
      </c>
      <c r="Q40" s="375">
        <v>2208962</v>
      </c>
      <c r="R40" s="375">
        <f t="shared" si="5"/>
        <v>2208962</v>
      </c>
      <c r="S40" s="453"/>
    </row>
    <row r="41" spans="2:19" ht="12.75">
      <c r="B41" s="368" t="s">
        <v>937</v>
      </c>
      <c r="D41" s="454">
        <v>0</v>
      </c>
      <c r="E41" s="454">
        <v>-285828</v>
      </c>
      <c r="F41" s="454">
        <v>0</v>
      </c>
      <c r="G41" s="454">
        <v>0</v>
      </c>
      <c r="H41" s="454">
        <f t="shared" si="6"/>
        <v>-285828</v>
      </c>
      <c r="I41" s="456"/>
      <c r="J41" s="456"/>
      <c r="K41" s="456"/>
      <c r="L41" s="375">
        <v>0</v>
      </c>
      <c r="M41" s="375">
        <f t="shared" si="3"/>
        <v>-285828</v>
      </c>
      <c r="N41" s="375">
        <v>2100</v>
      </c>
      <c r="O41" s="375">
        <v>0</v>
      </c>
      <c r="P41" s="375">
        <f t="shared" si="4"/>
        <v>2100</v>
      </c>
      <c r="Q41" s="375">
        <v>2391137</v>
      </c>
      <c r="R41" s="375">
        <f t="shared" si="5"/>
        <v>2107409</v>
      </c>
      <c r="S41" s="453"/>
    </row>
    <row r="42" spans="2:19" ht="12.75">
      <c r="B42" s="368" t="s">
        <v>300</v>
      </c>
      <c r="D42" s="454"/>
      <c r="E42" s="454">
        <v>0</v>
      </c>
      <c r="F42" s="454"/>
      <c r="G42" s="454"/>
      <c r="H42" s="454"/>
      <c r="I42" s="456"/>
      <c r="J42" s="456"/>
      <c r="K42" s="456"/>
      <c r="L42" s="375"/>
      <c r="M42" s="375"/>
      <c r="N42" s="375"/>
      <c r="P42" s="375"/>
      <c r="Q42" s="375">
        <v>9923</v>
      </c>
      <c r="R42" s="375"/>
      <c r="S42" s="453"/>
    </row>
    <row r="43" spans="2:19" ht="12.75">
      <c r="B43" s="368" t="s">
        <v>328</v>
      </c>
      <c r="D43" s="454">
        <v>0</v>
      </c>
      <c r="E43" s="454">
        <v>0</v>
      </c>
      <c r="F43" s="454">
        <v>0</v>
      </c>
      <c r="G43" s="454">
        <v>0</v>
      </c>
      <c r="H43" s="454">
        <f t="shared" si="6"/>
        <v>0</v>
      </c>
      <c r="I43" s="456"/>
      <c r="J43" s="456"/>
      <c r="K43" s="456"/>
      <c r="L43" s="375">
        <v>0</v>
      </c>
      <c r="M43" s="375">
        <f t="shared" si="3"/>
        <v>0</v>
      </c>
      <c r="N43" s="375">
        <v>0</v>
      </c>
      <c r="O43" s="375">
        <v>0</v>
      </c>
      <c r="P43" s="375">
        <f t="shared" si="4"/>
        <v>0</v>
      </c>
      <c r="Q43" s="375">
        <v>13009</v>
      </c>
      <c r="R43" s="375">
        <f t="shared" si="5"/>
        <v>13009</v>
      </c>
      <c r="S43" s="453"/>
    </row>
    <row r="44" spans="2:19" ht="12.75">
      <c r="B44" s="368" t="s">
        <v>287</v>
      </c>
      <c r="D44" s="454">
        <v>0</v>
      </c>
      <c r="E44" s="454">
        <v>0</v>
      </c>
      <c r="F44" s="454">
        <v>0</v>
      </c>
      <c r="G44" s="454">
        <v>0</v>
      </c>
      <c r="H44" s="454">
        <f>SUM(D44:G44)</f>
        <v>0</v>
      </c>
      <c r="I44" s="456"/>
      <c r="J44" s="456"/>
      <c r="K44" s="456"/>
      <c r="L44" s="375">
        <v>0</v>
      </c>
      <c r="M44" s="375">
        <f>+L44+H44</f>
        <v>0</v>
      </c>
      <c r="N44" s="375">
        <v>0</v>
      </c>
      <c r="O44" s="375">
        <v>0</v>
      </c>
      <c r="P44" s="375">
        <f>SUM(N44:O44)</f>
        <v>0</v>
      </c>
      <c r="Q44" s="375">
        <v>0</v>
      </c>
      <c r="R44" s="375">
        <f t="shared" si="5"/>
        <v>0</v>
      </c>
      <c r="S44" s="453"/>
    </row>
    <row r="45" spans="4:19" ht="12.75">
      <c r="D45" s="454"/>
      <c r="E45" s="454"/>
      <c r="F45" s="454"/>
      <c r="G45" s="454">
        <v>0</v>
      </c>
      <c r="H45" s="454"/>
      <c r="I45" s="456"/>
      <c r="J45" s="456"/>
      <c r="K45" s="456"/>
      <c r="L45" s="375"/>
      <c r="M45" s="375"/>
      <c r="N45" s="375"/>
      <c r="P45" s="375"/>
      <c r="R45" s="375"/>
      <c r="S45" s="453"/>
    </row>
    <row r="46" spans="1:22" ht="12.75">
      <c r="A46" s="368" t="s">
        <v>938</v>
      </c>
      <c r="D46" s="461">
        <f>SUM(D26:D44)</f>
        <v>2894782</v>
      </c>
      <c r="E46" s="461">
        <f>SUM(E26:E44)</f>
        <v>-450701</v>
      </c>
      <c r="F46" s="461">
        <f aca="true" t="shared" si="7" ref="F46:P46">SUM(F25:F44)</f>
        <v>3132356</v>
      </c>
      <c r="G46" s="461">
        <f>SUM(G25:G45)</f>
        <v>0</v>
      </c>
      <c r="H46" s="461">
        <f t="shared" si="7"/>
        <v>5576437</v>
      </c>
      <c r="I46" s="461">
        <f t="shared" si="7"/>
        <v>0</v>
      </c>
      <c r="J46" s="461">
        <f t="shared" si="7"/>
        <v>0</v>
      </c>
      <c r="K46" s="461">
        <f t="shared" si="7"/>
        <v>0</v>
      </c>
      <c r="L46" s="461">
        <f t="shared" si="7"/>
        <v>-420243</v>
      </c>
      <c r="M46" s="461">
        <f t="shared" si="7"/>
        <v>5156194</v>
      </c>
      <c r="N46" s="461">
        <f>SUM(N25:N44)</f>
        <v>4041074</v>
      </c>
      <c r="O46" s="461">
        <f t="shared" si="7"/>
        <v>-4727979</v>
      </c>
      <c r="P46" s="461">
        <f t="shared" si="7"/>
        <v>-686905</v>
      </c>
      <c r="Q46" s="461">
        <f>-SUM(Q25:Q44)</f>
        <v>5072328.3100000005</v>
      </c>
      <c r="R46" s="461">
        <f>SUM(R25:R44)</f>
        <v>-612962.3099999996</v>
      </c>
      <c r="S46" s="453"/>
      <c r="U46" s="368">
        <v>741002</v>
      </c>
      <c r="V46" s="453">
        <f>Q46+U46</f>
        <v>5813330.3100000005</v>
      </c>
    </row>
    <row r="47" spans="4:19" ht="12.75">
      <c r="D47" s="454"/>
      <c r="E47" s="454"/>
      <c r="F47" s="454"/>
      <c r="G47" s="454"/>
      <c r="H47" s="454"/>
      <c r="I47" s="454"/>
      <c r="J47" s="454"/>
      <c r="K47" s="454"/>
      <c r="L47" s="375"/>
      <c r="M47" s="375"/>
      <c r="N47" s="375"/>
      <c r="P47" s="375"/>
      <c r="R47" s="375"/>
      <c r="S47" s="453"/>
    </row>
    <row r="48" spans="1:19" ht="13.5" thickBot="1">
      <c r="A48" s="368" t="s">
        <v>939</v>
      </c>
      <c r="D48" s="462">
        <f>SUM(D18,D20,D22,D46)</f>
        <v>336085</v>
      </c>
      <c r="E48" s="462">
        <f>SUM(E18,E20,E22,E46)</f>
        <v>1786542.5999999996</v>
      </c>
      <c r="F48" s="462">
        <f aca="true" t="shared" si="8" ref="F48:M48">SUM(F18,F20,F22,F46)</f>
        <v>1930652</v>
      </c>
      <c r="G48" s="462">
        <f t="shared" si="8"/>
        <v>12079</v>
      </c>
      <c r="H48" s="462">
        <f t="shared" si="8"/>
        <v>4065358.6000000015</v>
      </c>
      <c r="I48" s="462"/>
      <c r="J48" s="462"/>
      <c r="K48" s="462"/>
      <c r="L48" s="462">
        <f t="shared" si="8"/>
        <v>227027</v>
      </c>
      <c r="M48" s="462">
        <f t="shared" si="8"/>
        <v>4292385.6000000015</v>
      </c>
      <c r="N48" s="462">
        <f>SUM(N18,N20,N22,N46)</f>
        <v>66614683.39999999</v>
      </c>
      <c r="O48" s="462">
        <f>SUM(O18,O20,O22,O46)</f>
        <v>8664042.600000003</v>
      </c>
      <c r="P48" s="462">
        <f>SUM(P18,P20,P22,P46)</f>
        <v>75278726</v>
      </c>
      <c r="Q48" s="462">
        <f>SUM(Q18,Q20,Q22,Q46)</f>
        <v>84611321.31</v>
      </c>
      <c r="R48" s="462">
        <f>SUM(R18,R20,R22,R46)</f>
        <v>154027853.29</v>
      </c>
      <c r="S48" s="453"/>
    </row>
    <row r="49" spans="1:19" ht="12.75">
      <c r="A49" s="368" t="s">
        <v>940</v>
      </c>
      <c r="D49" s="375"/>
      <c r="E49" s="375"/>
      <c r="F49" s="375"/>
      <c r="G49" s="375"/>
      <c r="H49" s="375"/>
      <c r="I49" s="452"/>
      <c r="J49" s="452"/>
      <c r="K49" s="452"/>
      <c r="L49" s="375"/>
      <c r="M49" s="375"/>
      <c r="N49" s="375"/>
      <c r="P49" s="375"/>
      <c r="R49" s="375"/>
      <c r="S49" s="453"/>
    </row>
    <row r="50" spans="4:19" ht="12.75">
      <c r="D50" s="375"/>
      <c r="E50" s="375"/>
      <c r="F50" s="375"/>
      <c r="G50" s="375"/>
      <c r="H50" s="375"/>
      <c r="I50" s="452"/>
      <c r="J50" s="452"/>
      <c r="K50" s="452"/>
      <c r="L50" s="375"/>
      <c r="M50" s="375"/>
      <c r="N50" s="375"/>
      <c r="P50" s="375"/>
      <c r="R50" s="375"/>
      <c r="S50" s="453"/>
    </row>
    <row r="51" spans="4:19" ht="12.75" hidden="1">
      <c r="D51" s="375"/>
      <c r="E51" s="375"/>
      <c r="F51" s="375"/>
      <c r="G51" s="375"/>
      <c r="H51" s="375"/>
      <c r="I51" s="452"/>
      <c r="J51" s="452"/>
      <c r="K51" s="452"/>
      <c r="L51" s="375"/>
      <c r="M51" s="375"/>
      <c r="N51" s="375"/>
      <c r="P51" s="375"/>
      <c r="R51" s="375"/>
      <c r="S51" s="453"/>
    </row>
    <row r="52" spans="2:19" ht="12.75">
      <c r="B52" s="463" t="s">
        <v>941</v>
      </c>
      <c r="D52" s="375"/>
      <c r="E52" s="375"/>
      <c r="F52" s="375"/>
      <c r="G52" s="375"/>
      <c r="H52" s="375"/>
      <c r="I52" s="452"/>
      <c r="J52" s="452"/>
      <c r="K52" s="452"/>
      <c r="L52" s="375"/>
      <c r="M52" s="375"/>
      <c r="N52" s="375"/>
      <c r="P52" s="375"/>
      <c r="R52" s="375"/>
      <c r="S52" s="453"/>
    </row>
    <row r="53" spans="4:19" ht="12.75">
      <c r="D53" s="375"/>
      <c r="E53" s="375"/>
      <c r="F53" s="375"/>
      <c r="G53" s="375"/>
      <c r="H53" s="375"/>
      <c r="I53" s="452"/>
      <c r="J53" s="452"/>
      <c r="K53" s="452"/>
      <c r="L53" s="375"/>
      <c r="M53" s="375"/>
      <c r="N53" s="375"/>
      <c r="P53" s="375"/>
      <c r="R53" s="375"/>
      <c r="S53" s="453"/>
    </row>
    <row r="54" spans="2:20" ht="12.75">
      <c r="B54" s="368" t="s">
        <v>942</v>
      </c>
      <c r="D54" s="460">
        <v>14195</v>
      </c>
      <c r="E54" s="540">
        <v>214476</v>
      </c>
      <c r="F54" s="540">
        <f>13462+237</f>
        <v>13699</v>
      </c>
      <c r="G54" s="540">
        <v>24350</v>
      </c>
      <c r="H54" s="454">
        <f>SUM(D54:G54)</f>
        <v>266720</v>
      </c>
      <c r="I54" s="452"/>
      <c r="J54" s="452"/>
      <c r="K54" s="452"/>
      <c r="L54" s="375">
        <v>8039</v>
      </c>
      <c r="M54" s="375">
        <f>+L54+H54</f>
        <v>274759</v>
      </c>
      <c r="N54" s="375">
        <v>7610473</v>
      </c>
      <c r="O54" s="375">
        <v>1630980</v>
      </c>
      <c r="P54" s="375">
        <f>SUM(N54:O54)</f>
        <v>9241453</v>
      </c>
      <c r="Q54" s="375">
        <v>6646</v>
      </c>
      <c r="R54" s="375">
        <f>+L54+P54+Q54+H54</f>
        <v>9522858</v>
      </c>
      <c r="S54" s="453"/>
      <c r="T54" s="453"/>
    </row>
    <row r="55" spans="2:19" ht="12.75">
      <c r="B55" s="368" t="s">
        <v>943</v>
      </c>
      <c r="D55" s="454">
        <v>0</v>
      </c>
      <c r="E55" s="540">
        <v>33098</v>
      </c>
      <c r="F55" s="375">
        <v>0</v>
      </c>
      <c r="G55" s="375">
        <v>0</v>
      </c>
      <c r="H55" s="454">
        <f>SUM(D55:G55)</f>
        <v>33098</v>
      </c>
      <c r="I55" s="452"/>
      <c r="J55" s="452"/>
      <c r="K55" s="452"/>
      <c r="L55" s="375">
        <v>56001</v>
      </c>
      <c r="M55" s="375">
        <f>+L55+H55</f>
        <v>89099</v>
      </c>
      <c r="N55" s="375">
        <v>34558508</v>
      </c>
      <c r="O55" s="375">
        <v>500000</v>
      </c>
      <c r="P55" s="375">
        <f>SUM(N55:O55)</f>
        <v>35058508</v>
      </c>
      <c r="Q55" s="375">
        <v>1328201</v>
      </c>
      <c r="R55" s="375">
        <f>+L55+P55+Q55+H55</f>
        <v>36475808</v>
      </c>
      <c r="S55" s="453"/>
    </row>
    <row r="56" spans="4:19" ht="12.75">
      <c r="D56" s="454"/>
      <c r="E56" s="540"/>
      <c r="F56" s="375"/>
      <c r="G56" s="375"/>
      <c r="H56" s="375"/>
      <c r="I56" s="452"/>
      <c r="J56" s="452"/>
      <c r="K56" s="452"/>
      <c r="L56" s="375"/>
      <c r="M56" s="375"/>
      <c r="N56" s="375"/>
      <c r="P56" s="375"/>
      <c r="R56" s="375"/>
      <c r="S56" s="453"/>
    </row>
    <row r="57" spans="2:19" ht="12.75">
      <c r="B57" s="368" t="s">
        <v>1078</v>
      </c>
      <c r="D57" s="454">
        <v>0</v>
      </c>
      <c r="E57" s="540">
        <v>580870</v>
      </c>
      <c r="F57" s="375">
        <v>0</v>
      </c>
      <c r="G57" s="375">
        <f>1009055-1009055</f>
        <v>0</v>
      </c>
      <c r="H57" s="454">
        <f>SUM(D57:G57)</f>
        <v>580870</v>
      </c>
      <c r="I57" s="452"/>
      <c r="J57" s="452"/>
      <c r="K57" s="452"/>
      <c r="L57" s="375">
        <v>46040</v>
      </c>
      <c r="M57" s="375">
        <f>+L57+H57</f>
        <v>626910</v>
      </c>
      <c r="N57" s="375">
        <f>29251094+(pl!O67*1000)</f>
        <v>29157837</v>
      </c>
      <c r="O57" s="375">
        <v>1094678</v>
      </c>
      <c r="P57" s="375">
        <f>SUM(N57:O57)</f>
        <v>30252515</v>
      </c>
      <c r="Q57" s="375">
        <v>0</v>
      </c>
      <c r="R57" s="375">
        <f>+L57+P57+Q57+H57</f>
        <v>30879425</v>
      </c>
      <c r="S57" s="453"/>
    </row>
    <row r="58" spans="2:19" ht="12.75">
      <c r="B58" s="368" t="s">
        <v>783</v>
      </c>
      <c r="D58" s="454">
        <v>0</v>
      </c>
      <c r="E58" s="375">
        <f>203500-203500</f>
        <v>0</v>
      </c>
      <c r="F58" s="375">
        <v>0</v>
      </c>
      <c r="G58" s="375">
        <v>0</v>
      </c>
      <c r="H58" s="454">
        <f>SUM(D58:G58)</f>
        <v>0</v>
      </c>
      <c r="I58" s="452"/>
      <c r="J58" s="452"/>
      <c r="K58" s="452"/>
      <c r="L58" s="375">
        <v>0</v>
      </c>
      <c r="M58" s="375">
        <f>+L58+H58</f>
        <v>0</v>
      </c>
      <c r="N58" s="375">
        <f>25375029+(pl!O65*1000)</f>
        <v>24930715</v>
      </c>
      <c r="O58" s="375">
        <f>1930444</f>
        <v>1930444</v>
      </c>
      <c r="P58" s="375">
        <f>SUM(N58:O58)</f>
        <v>26861159</v>
      </c>
      <c r="Q58" s="375">
        <v>0</v>
      </c>
      <c r="R58" s="375">
        <f>+L58+P58+Q58+H58</f>
        <v>26861159</v>
      </c>
      <c r="S58" s="453"/>
    </row>
    <row r="59" spans="4:19" ht="12.75">
      <c r="D59" s="464">
        <f aca="true" t="shared" si="9" ref="D59:R59">SUM(D57:D58)</f>
        <v>0</v>
      </c>
      <c r="E59" s="464">
        <f>SUM(E57:E58)</f>
        <v>580870</v>
      </c>
      <c r="F59" s="464">
        <f t="shared" si="9"/>
        <v>0</v>
      </c>
      <c r="G59" s="464">
        <f t="shared" si="9"/>
        <v>0</v>
      </c>
      <c r="H59" s="464">
        <f t="shared" si="9"/>
        <v>580870</v>
      </c>
      <c r="I59" s="464"/>
      <c r="J59" s="464"/>
      <c r="K59" s="464"/>
      <c r="L59" s="464">
        <f>SUM(L57:L58)</f>
        <v>46040</v>
      </c>
      <c r="M59" s="464">
        <f>SUM(M57:M58)</f>
        <v>626910</v>
      </c>
      <c r="N59" s="464">
        <f>SUM(N57:N58)</f>
        <v>54088552</v>
      </c>
      <c r="O59" s="464">
        <f t="shared" si="9"/>
        <v>3025122</v>
      </c>
      <c r="P59" s="464">
        <f t="shared" si="9"/>
        <v>57113674</v>
      </c>
      <c r="Q59" s="464">
        <f t="shared" si="9"/>
        <v>0</v>
      </c>
      <c r="R59" s="464">
        <f t="shared" si="9"/>
        <v>57740584</v>
      </c>
      <c r="S59" s="453"/>
    </row>
    <row r="60" spans="4:19" ht="12.75">
      <c r="D60" s="454"/>
      <c r="E60" s="375"/>
      <c r="F60" s="375"/>
      <c r="G60" s="375"/>
      <c r="H60" s="375"/>
      <c r="I60" s="452"/>
      <c r="J60" s="452"/>
      <c r="K60" s="452"/>
      <c r="L60" s="375"/>
      <c r="M60" s="375"/>
      <c r="N60" s="375"/>
      <c r="P60" s="375"/>
      <c r="R60" s="375"/>
      <c r="S60" s="453"/>
    </row>
    <row r="61" spans="2:20" ht="12.75">
      <c r="B61" s="368" t="s">
        <v>597</v>
      </c>
      <c r="D61" s="460">
        <v>3090</v>
      </c>
      <c r="E61" s="540">
        <v>33413</v>
      </c>
      <c r="F61" s="375">
        <v>19084</v>
      </c>
      <c r="G61" s="375">
        <v>6058</v>
      </c>
      <c r="H61" s="454">
        <f aca="true" t="shared" si="10" ref="H61:H67">SUM(D61:G61)</f>
        <v>61645</v>
      </c>
      <c r="I61" s="452"/>
      <c r="J61" s="452"/>
      <c r="K61" s="452"/>
      <c r="L61" s="375">
        <v>31375</v>
      </c>
      <c r="M61" s="375">
        <f aca="true" t="shared" si="11" ref="M61:M67">+L61+H61</f>
        <v>93020</v>
      </c>
      <c r="N61" s="375">
        <f>8207029-4256873</f>
        <v>3950156</v>
      </c>
      <c r="O61" s="375">
        <v>386329</v>
      </c>
      <c r="P61" s="375">
        <f aca="true" t="shared" si="12" ref="P61:P67">SUM(N61:O61)</f>
        <v>4336485</v>
      </c>
      <c r="Q61" s="375">
        <f>66833+30000-1</f>
        <v>96832</v>
      </c>
      <c r="R61" s="375">
        <f aca="true" t="shared" si="13" ref="R61:R67">+L61+P61+Q61+H61</f>
        <v>4526337</v>
      </c>
      <c r="S61" s="453"/>
      <c r="T61" s="453"/>
    </row>
    <row r="62" spans="2:19" ht="12.75">
      <c r="B62" s="368" t="s">
        <v>944</v>
      </c>
      <c r="D62" s="460">
        <f>-D46</f>
        <v>-2894782</v>
      </c>
      <c r="E62" s="454">
        <f>-+E46</f>
        <v>450701</v>
      </c>
      <c r="F62" s="454">
        <f>-F46</f>
        <v>-3132356</v>
      </c>
      <c r="G62" s="454">
        <f>-G46</f>
        <v>0</v>
      </c>
      <c r="H62" s="454">
        <f t="shared" si="10"/>
        <v>-5576437</v>
      </c>
      <c r="I62" s="456"/>
      <c r="J62" s="456"/>
      <c r="K62" s="456"/>
      <c r="L62" s="454">
        <f>-+L46</f>
        <v>420243</v>
      </c>
      <c r="M62" s="375">
        <f t="shared" si="11"/>
        <v>-5156194</v>
      </c>
      <c r="N62" s="454">
        <f>-+N46</f>
        <v>-4041074</v>
      </c>
      <c r="O62" s="454">
        <f>-O46</f>
        <v>4727979</v>
      </c>
      <c r="P62" s="375">
        <f t="shared" si="12"/>
        <v>686905</v>
      </c>
      <c r="Q62" s="454">
        <v>-5072328</v>
      </c>
      <c r="R62" s="375">
        <f t="shared" si="13"/>
        <v>-9541617</v>
      </c>
      <c r="S62" s="453"/>
    </row>
    <row r="63" spans="2:19" ht="12.75">
      <c r="B63" s="368" t="s">
        <v>948</v>
      </c>
      <c r="D63" s="460">
        <v>355150</v>
      </c>
      <c r="E63" s="540">
        <v>4665141</v>
      </c>
      <c r="F63" s="375">
        <v>1903871</v>
      </c>
      <c r="G63" s="375">
        <v>660</v>
      </c>
      <c r="H63" s="454">
        <f t="shared" si="10"/>
        <v>6924822</v>
      </c>
      <c r="I63" s="452"/>
      <c r="J63" s="452"/>
      <c r="K63" s="452"/>
      <c r="L63" s="375">
        <v>99777</v>
      </c>
      <c r="M63" s="375">
        <f t="shared" si="11"/>
        <v>7024599</v>
      </c>
      <c r="N63" s="375">
        <v>32224701</v>
      </c>
      <c r="O63" s="375">
        <v>15662998</v>
      </c>
      <c r="P63" s="375">
        <f t="shared" si="12"/>
        <v>47887699</v>
      </c>
      <c r="Q63" s="375">
        <v>1892394</v>
      </c>
      <c r="R63" s="375">
        <f t="shared" si="13"/>
        <v>56804692</v>
      </c>
      <c r="S63" s="453"/>
    </row>
    <row r="64" spans="2:19" ht="12.75">
      <c r="B64" s="368" t="s">
        <v>371</v>
      </c>
      <c r="D64" s="375">
        <v>0</v>
      </c>
      <c r="E64" s="375">
        <v>0</v>
      </c>
      <c r="F64" s="375">
        <v>0</v>
      </c>
      <c r="G64" s="375">
        <v>0</v>
      </c>
      <c r="H64" s="454">
        <f t="shared" si="10"/>
        <v>0</v>
      </c>
      <c r="I64" s="452"/>
      <c r="J64" s="452"/>
      <c r="K64" s="452"/>
      <c r="L64" s="375">
        <v>0</v>
      </c>
      <c r="M64" s="375">
        <f t="shared" si="11"/>
        <v>0</v>
      </c>
      <c r="N64" s="375">
        <v>754876</v>
      </c>
      <c r="O64" s="375">
        <v>0</v>
      </c>
      <c r="P64" s="375">
        <f t="shared" si="12"/>
        <v>754876</v>
      </c>
      <c r="Q64" s="375">
        <f>5374476+83908483-Q65</f>
        <v>88582958</v>
      </c>
      <c r="R64" s="375">
        <f>+L64+P64+Q64+H64</f>
        <v>89337834</v>
      </c>
      <c r="S64" s="453"/>
    </row>
    <row r="65" spans="1:19" ht="12.75">
      <c r="A65" s="667"/>
      <c r="B65" s="368" t="s">
        <v>99</v>
      </c>
      <c r="D65" s="454">
        <v>0</v>
      </c>
      <c r="E65" s="375">
        <v>0</v>
      </c>
      <c r="F65" s="375">
        <v>0</v>
      </c>
      <c r="G65" s="375">
        <v>0</v>
      </c>
      <c r="H65" s="454">
        <f t="shared" si="10"/>
        <v>0</v>
      </c>
      <c r="I65" s="452"/>
      <c r="J65" s="452"/>
      <c r="K65" s="452"/>
      <c r="L65" s="375">
        <v>0</v>
      </c>
      <c r="M65" s="375">
        <f t="shared" si="11"/>
        <v>0</v>
      </c>
      <c r="N65" s="375">
        <v>0</v>
      </c>
      <c r="O65" s="375">
        <v>0</v>
      </c>
      <c r="P65" s="375">
        <f t="shared" si="12"/>
        <v>0</v>
      </c>
      <c r="Q65" s="375">
        <v>700001</v>
      </c>
      <c r="R65" s="375">
        <f t="shared" si="13"/>
        <v>700001</v>
      </c>
      <c r="S65" s="453"/>
    </row>
    <row r="66" spans="4:19" ht="12.75" hidden="1">
      <c r="D66" s="454"/>
      <c r="E66" s="375"/>
      <c r="F66" s="375"/>
      <c r="G66" s="375"/>
      <c r="H66" s="454">
        <f t="shared" si="10"/>
        <v>0</v>
      </c>
      <c r="I66" s="452"/>
      <c r="J66" s="452"/>
      <c r="K66" s="452"/>
      <c r="L66" s="375"/>
      <c r="M66" s="375">
        <f t="shared" si="11"/>
        <v>0</v>
      </c>
      <c r="N66" s="375"/>
      <c r="P66" s="375">
        <f t="shared" si="12"/>
        <v>0</v>
      </c>
      <c r="R66" s="375">
        <f t="shared" si="13"/>
        <v>0</v>
      </c>
      <c r="S66" s="453"/>
    </row>
    <row r="67" spans="2:19" ht="12.75">
      <c r="B67" s="368" t="s">
        <v>1176</v>
      </c>
      <c r="D67" s="454">
        <v>0</v>
      </c>
      <c r="E67" s="540">
        <v>0</v>
      </c>
      <c r="F67" s="375">
        <v>1991</v>
      </c>
      <c r="G67" s="375"/>
      <c r="H67" s="454">
        <f t="shared" si="10"/>
        <v>1991</v>
      </c>
      <c r="I67" s="452"/>
      <c r="J67" s="452"/>
      <c r="K67" s="452"/>
      <c r="L67" s="375"/>
      <c r="M67" s="375">
        <f t="shared" si="11"/>
        <v>1991</v>
      </c>
      <c r="N67" s="375">
        <f>4256873-3168000</f>
        <v>1088873</v>
      </c>
      <c r="O67" s="375">
        <v>262803</v>
      </c>
      <c r="P67" s="375">
        <f t="shared" si="12"/>
        <v>1351676</v>
      </c>
      <c r="R67" s="375">
        <f t="shared" si="13"/>
        <v>1353667</v>
      </c>
      <c r="S67" s="453"/>
    </row>
    <row r="68" spans="1:19" ht="12.75">
      <c r="A68" s="453"/>
      <c r="D68" s="454"/>
      <c r="E68" s="375"/>
      <c r="F68" s="375"/>
      <c r="G68" s="375"/>
      <c r="H68" s="375"/>
      <c r="I68" s="452"/>
      <c r="J68" s="452"/>
      <c r="K68" s="452"/>
      <c r="L68" s="375"/>
      <c r="M68" s="375"/>
      <c r="N68" s="375"/>
      <c r="P68" s="375"/>
      <c r="R68" s="375"/>
      <c r="S68" s="453"/>
    </row>
    <row r="69" spans="1:19" ht="12.75">
      <c r="A69" s="667"/>
      <c r="D69" s="461">
        <f>SUM(D54:D65)-D59</f>
        <v>-2522347</v>
      </c>
      <c r="E69" s="461">
        <f>SUM(E54:E67)-E59</f>
        <v>5977699</v>
      </c>
      <c r="F69" s="461">
        <f>SUM(F54:F67)-F59</f>
        <v>-1193711</v>
      </c>
      <c r="G69" s="461">
        <f>SUM(G54:G67)-G59</f>
        <v>31068</v>
      </c>
      <c r="H69" s="461">
        <f>SUM(H54:H67)-H59</f>
        <v>2292709</v>
      </c>
      <c r="I69" s="461"/>
      <c r="J69" s="461"/>
      <c r="K69" s="461"/>
      <c r="L69" s="461">
        <f aca="true" t="shared" si="14" ref="L69:R69">SUM(L54:L67)-L59</f>
        <v>661475</v>
      </c>
      <c r="M69" s="461">
        <f t="shared" si="14"/>
        <v>2954184</v>
      </c>
      <c r="N69" s="461">
        <f t="shared" si="14"/>
        <v>130235065</v>
      </c>
      <c r="O69" s="744">
        <f t="shared" si="14"/>
        <v>26196211</v>
      </c>
      <c r="P69" s="461">
        <f t="shared" si="14"/>
        <v>156431276</v>
      </c>
      <c r="Q69" s="461">
        <f t="shared" si="14"/>
        <v>87534704</v>
      </c>
      <c r="R69" s="461">
        <f t="shared" si="14"/>
        <v>246920164</v>
      </c>
      <c r="S69" s="453"/>
    </row>
    <row r="70" spans="4:19" ht="12.75">
      <c r="D70" s="454"/>
      <c r="E70" s="454"/>
      <c r="F70" s="454"/>
      <c r="G70" s="454"/>
      <c r="H70" s="454"/>
      <c r="I70" s="456"/>
      <c r="J70" s="456"/>
      <c r="K70" s="456"/>
      <c r="L70" s="454"/>
      <c r="M70" s="454"/>
      <c r="N70" s="375"/>
      <c r="P70" s="375"/>
      <c r="Q70" s="454">
        <f>-(5001698+6503000+2884997+1417426+860000+376013+2000)</f>
        <v>-17045134</v>
      </c>
      <c r="R70" s="375"/>
      <c r="S70" s="453"/>
    </row>
    <row r="71" spans="4:18" ht="12.75" hidden="1">
      <c r="D71" s="454"/>
      <c r="E71" s="454"/>
      <c r="F71" s="454"/>
      <c r="G71" s="454"/>
      <c r="H71" s="454"/>
      <c r="I71" s="456"/>
      <c r="J71" s="456"/>
      <c r="K71" s="456"/>
      <c r="L71" s="454"/>
      <c r="M71" s="454"/>
      <c r="N71" s="375"/>
      <c r="P71" s="375"/>
      <c r="Q71" s="454"/>
      <c r="R71" s="375"/>
    </row>
    <row r="72" spans="2:18" ht="12.75">
      <c r="B72" s="463" t="s">
        <v>949</v>
      </c>
      <c r="D72" s="454"/>
      <c r="E72" s="375"/>
      <c r="F72" s="375"/>
      <c r="G72" s="375"/>
      <c r="H72" s="375"/>
      <c r="I72" s="452"/>
      <c r="J72" s="452"/>
      <c r="K72" s="452"/>
      <c r="L72" s="375"/>
      <c r="M72" s="375"/>
      <c r="N72" s="375"/>
      <c r="P72" s="375"/>
      <c r="Q72" s="375">
        <f>5001698+3562000+950000+6503000+2884997+1553000+860000+398137+2000+1600+1600+1577.1+71259+700001</f>
        <v>22490869.1</v>
      </c>
      <c r="R72" s="375"/>
    </row>
    <row r="73" spans="2:19" ht="12.75">
      <c r="B73" s="368" t="s">
        <v>349</v>
      </c>
      <c r="D73" s="454">
        <v>0</v>
      </c>
      <c r="E73" s="375">
        <v>0</v>
      </c>
      <c r="F73" s="375"/>
      <c r="G73" s="375">
        <v>0</v>
      </c>
      <c r="H73" s="454">
        <f aca="true" t="shared" si="15" ref="H73:H81">SUM(D73:G73)</f>
        <v>0</v>
      </c>
      <c r="I73" s="452"/>
      <c r="J73" s="452"/>
      <c r="K73" s="452"/>
      <c r="L73" s="375">
        <v>0</v>
      </c>
      <c r="M73" s="375">
        <f>+L73+H73</f>
        <v>0</v>
      </c>
      <c r="N73" s="375">
        <v>0</v>
      </c>
      <c r="O73" s="375">
        <v>-1383000</v>
      </c>
      <c r="P73" s="454">
        <f aca="true" t="shared" si="16" ref="P73:P79">SUM(N73:O73)</f>
        <v>-1383000</v>
      </c>
      <c r="R73" s="375">
        <f aca="true" t="shared" si="17" ref="R73:R81">+L73+P73+Q73+H73</f>
        <v>-1383000</v>
      </c>
      <c r="S73" s="453"/>
    </row>
    <row r="74" spans="2:19" ht="12.75">
      <c r="B74" s="368" t="s">
        <v>1130</v>
      </c>
      <c r="D74" s="454">
        <v>0</v>
      </c>
      <c r="E74" s="540">
        <v>-2411598</v>
      </c>
      <c r="F74" s="375">
        <v>0</v>
      </c>
      <c r="G74" s="375">
        <v>0</v>
      </c>
      <c r="H74" s="454">
        <f t="shared" si="15"/>
        <v>-2411598</v>
      </c>
      <c r="I74" s="452"/>
      <c r="J74" s="452"/>
      <c r="K74" s="452"/>
      <c r="L74" s="375">
        <v>0</v>
      </c>
      <c r="M74" s="375">
        <f aca="true" t="shared" si="18" ref="M74:M81">+L74+H74</f>
        <v>-2411598</v>
      </c>
      <c r="N74" s="375">
        <v>0</v>
      </c>
      <c r="O74" s="375">
        <v>0</v>
      </c>
      <c r="P74" s="454">
        <f t="shared" si="16"/>
        <v>0</v>
      </c>
      <c r="Q74" s="375">
        <f>-(840000+4930000)</f>
        <v>-5770000</v>
      </c>
      <c r="R74" s="375">
        <f t="shared" si="17"/>
        <v>-8181598</v>
      </c>
      <c r="S74" s="453"/>
    </row>
    <row r="75" spans="2:19" ht="12.75">
      <c r="B75" s="368" t="s">
        <v>203</v>
      </c>
      <c r="D75" s="454">
        <v>0</v>
      </c>
      <c r="E75" s="375">
        <v>0</v>
      </c>
      <c r="F75" s="375">
        <v>0</v>
      </c>
      <c r="G75" s="375">
        <v>0</v>
      </c>
      <c r="H75" s="454">
        <f t="shared" si="15"/>
        <v>0</v>
      </c>
      <c r="I75" s="452"/>
      <c r="J75" s="452"/>
      <c r="K75" s="452"/>
      <c r="L75" s="375">
        <v>0</v>
      </c>
      <c r="M75" s="375">
        <f t="shared" si="18"/>
        <v>0</v>
      </c>
      <c r="N75" s="375">
        <v>0</v>
      </c>
      <c r="O75" s="375">
        <v>0</v>
      </c>
      <c r="P75" s="454">
        <f t="shared" si="16"/>
        <v>0</v>
      </c>
      <c r="R75" s="375">
        <f t="shared" si="17"/>
        <v>0</v>
      </c>
      <c r="S75" s="453"/>
    </row>
    <row r="76" spans="2:19" ht="12.75">
      <c r="B76" s="368" t="s">
        <v>950</v>
      </c>
      <c r="D76" s="540">
        <v>-16342</v>
      </c>
      <c r="E76" s="540">
        <v>-1834621</v>
      </c>
      <c r="F76" s="375">
        <f>-(1500+2500)</f>
        <v>-4000</v>
      </c>
      <c r="G76" s="375">
        <v>-3726</v>
      </c>
      <c r="H76" s="454">
        <f t="shared" si="15"/>
        <v>-1858689</v>
      </c>
      <c r="I76" s="452"/>
      <c r="J76" s="452"/>
      <c r="K76" s="452"/>
      <c r="L76" s="375">
        <v>-14205</v>
      </c>
      <c r="M76" s="375">
        <f t="shared" si="18"/>
        <v>-1872894</v>
      </c>
      <c r="N76" s="375">
        <f>-5667846+((pl!O69+pl!O63)*1000)</f>
        <v>-7817803</v>
      </c>
      <c r="O76" s="375">
        <v>-1225359</v>
      </c>
      <c r="P76" s="375">
        <f t="shared" si="16"/>
        <v>-9043162</v>
      </c>
      <c r="Q76" s="375">
        <v>-225711</v>
      </c>
      <c r="R76" s="375">
        <f t="shared" si="17"/>
        <v>-11141767</v>
      </c>
      <c r="S76" s="453"/>
    </row>
    <row r="77" spans="2:19" ht="12.75">
      <c r="B77" s="368" t="s">
        <v>1476</v>
      </c>
      <c r="D77" s="375">
        <v>0</v>
      </c>
      <c r="E77" s="540">
        <v>-33413</v>
      </c>
      <c r="F77" s="375">
        <v>0</v>
      </c>
      <c r="G77" s="375">
        <v>0</v>
      </c>
      <c r="H77" s="454">
        <f t="shared" si="15"/>
        <v>-33413</v>
      </c>
      <c r="I77" s="452"/>
      <c r="J77" s="452"/>
      <c r="K77" s="452"/>
      <c r="L77" s="375">
        <v>0</v>
      </c>
      <c r="M77" s="375">
        <f t="shared" si="18"/>
        <v>-33413</v>
      </c>
      <c r="N77" s="375"/>
      <c r="O77" s="375">
        <v>0</v>
      </c>
      <c r="P77" s="375">
        <f t="shared" si="16"/>
        <v>0</v>
      </c>
      <c r="R77" s="375">
        <f t="shared" si="17"/>
        <v>-33413</v>
      </c>
      <c r="S77" s="453"/>
    </row>
    <row r="78" spans="2:19" ht="12.75">
      <c r="B78" s="368" t="s">
        <v>951</v>
      </c>
      <c r="D78" s="375">
        <v>0</v>
      </c>
      <c r="E78" s="540">
        <v>-300000</v>
      </c>
      <c r="F78" s="375">
        <v>0</v>
      </c>
      <c r="G78" s="375">
        <v>0</v>
      </c>
      <c r="H78" s="454">
        <f t="shared" si="15"/>
        <v>-300000</v>
      </c>
      <c r="I78" s="452"/>
      <c r="J78" s="452"/>
      <c r="K78" s="452"/>
      <c r="L78" s="375">
        <v>0</v>
      </c>
      <c r="M78" s="375">
        <f t="shared" si="18"/>
        <v>-300000</v>
      </c>
      <c r="N78" s="375">
        <v>0</v>
      </c>
      <c r="O78" s="375">
        <v>0</v>
      </c>
      <c r="P78" s="454">
        <f t="shared" si="16"/>
        <v>0</v>
      </c>
      <c r="Q78" s="375">
        <f>-(2840000-840000)</f>
        <v>-2000000</v>
      </c>
      <c r="R78" s="375">
        <f t="shared" si="17"/>
        <v>-2300000</v>
      </c>
      <c r="S78" s="453"/>
    </row>
    <row r="79" spans="2:19" ht="12.75">
      <c r="B79" s="368" t="s">
        <v>952</v>
      </c>
      <c r="D79" s="540">
        <v>-20008</v>
      </c>
      <c r="E79" s="540">
        <v>-171867</v>
      </c>
      <c r="F79" s="375">
        <v>-3993</v>
      </c>
      <c r="G79" s="375">
        <v>-15263</v>
      </c>
      <c r="H79" s="454">
        <f t="shared" si="15"/>
        <v>-211131</v>
      </c>
      <c r="I79" s="452"/>
      <c r="J79" s="452"/>
      <c r="K79" s="452"/>
      <c r="L79" s="375">
        <v>0</v>
      </c>
      <c r="M79" s="375">
        <f t="shared" si="18"/>
        <v>-211131</v>
      </c>
      <c r="N79" s="375">
        <v>-10127913</v>
      </c>
      <c r="O79" s="375">
        <v>-1267816</v>
      </c>
      <c r="P79" s="454">
        <f t="shared" si="16"/>
        <v>-11395729</v>
      </c>
      <c r="Q79" s="375">
        <v>0</v>
      </c>
      <c r="R79" s="375">
        <f t="shared" si="17"/>
        <v>-11606860</v>
      </c>
      <c r="S79" s="453"/>
    </row>
    <row r="80" spans="2:19" ht="12.75">
      <c r="B80" s="368" t="s">
        <v>1077</v>
      </c>
      <c r="D80" s="375">
        <f>-D20</f>
        <v>-16074720</v>
      </c>
      <c r="E80" s="540">
        <f>-+E20</f>
        <v>-15669680</v>
      </c>
      <c r="F80" s="375">
        <f>-F20</f>
        <v>-1936447</v>
      </c>
      <c r="G80" s="375">
        <f>-G20</f>
        <v>744085</v>
      </c>
      <c r="H80" s="454">
        <f t="shared" si="15"/>
        <v>-32936762</v>
      </c>
      <c r="I80" s="456"/>
      <c r="J80" s="456"/>
      <c r="K80" s="456"/>
      <c r="L80" s="375">
        <f>-138694.06+138694.06</f>
        <v>0</v>
      </c>
      <c r="M80" s="375">
        <f t="shared" si="18"/>
        <v>-32936762</v>
      </c>
      <c r="N80" s="375">
        <f>-N20</f>
        <v>12000000</v>
      </c>
      <c r="O80" s="375">
        <v>0</v>
      </c>
      <c r="P80" s="454">
        <f>SUM(N80:O80)</f>
        <v>12000000</v>
      </c>
      <c r="Q80" s="454">
        <v>0</v>
      </c>
      <c r="R80" s="375">
        <f t="shared" si="17"/>
        <v>-20936762</v>
      </c>
      <c r="S80" s="453"/>
    </row>
    <row r="81" spans="2:19" ht="12.75">
      <c r="B81" s="368" t="s">
        <v>930</v>
      </c>
      <c r="D81" s="454">
        <v>0</v>
      </c>
      <c r="E81" s="454">
        <v>0</v>
      </c>
      <c r="F81" s="454"/>
      <c r="G81" s="454">
        <f>-741002+741002</f>
        <v>0</v>
      </c>
      <c r="H81" s="454">
        <f t="shared" si="15"/>
        <v>0</v>
      </c>
      <c r="I81" s="456"/>
      <c r="J81" s="456"/>
      <c r="K81" s="456"/>
      <c r="L81" s="375">
        <v>0</v>
      </c>
      <c r="M81" s="375">
        <f t="shared" si="18"/>
        <v>0</v>
      </c>
      <c r="N81" s="454">
        <v>0</v>
      </c>
      <c r="O81" s="454">
        <v>0</v>
      </c>
      <c r="P81" s="454">
        <f>SUM(N81:O81)</f>
        <v>0</v>
      </c>
      <c r="Q81" s="454">
        <v>0</v>
      </c>
      <c r="R81" s="375">
        <f t="shared" si="17"/>
        <v>0</v>
      </c>
      <c r="S81" s="453"/>
    </row>
    <row r="82" spans="4:19" ht="12.75">
      <c r="D82" s="461">
        <f>SUM(D75:D81)</f>
        <v>-16111070</v>
      </c>
      <c r="E82" s="461">
        <f>SUM(E73:E81)</f>
        <v>-20421179</v>
      </c>
      <c r="F82" s="461">
        <f aca="true" t="shared" si="19" ref="F82:M82">SUM(F73:F81)</f>
        <v>-1944440</v>
      </c>
      <c r="G82" s="461">
        <f>SUM(G73:G81)</f>
        <v>725096</v>
      </c>
      <c r="H82" s="461">
        <f t="shared" si="19"/>
        <v>-37751593</v>
      </c>
      <c r="I82" s="461"/>
      <c r="J82" s="461"/>
      <c r="K82" s="461"/>
      <c r="L82" s="461">
        <f t="shared" si="19"/>
        <v>-14205</v>
      </c>
      <c r="M82" s="461">
        <f t="shared" si="19"/>
        <v>-37765798</v>
      </c>
      <c r="N82" s="461">
        <f>SUM(N73:N81)</f>
        <v>-5945716</v>
      </c>
      <c r="O82" s="461">
        <f>SUM(O73:O81)</f>
        <v>-3876175</v>
      </c>
      <c r="P82" s="461">
        <f>SUM(P73:P81)</f>
        <v>-9821891</v>
      </c>
      <c r="Q82" s="461">
        <f>SUM(Q73:Q81)</f>
        <v>-7995711</v>
      </c>
      <c r="R82" s="461">
        <f>SUM(R73:R81)</f>
        <v>-55583400</v>
      </c>
      <c r="S82" s="453"/>
    </row>
    <row r="83" spans="1:19" ht="12.75">
      <c r="A83" s="453"/>
      <c r="D83" s="454"/>
      <c r="E83" s="454"/>
      <c r="F83" s="375"/>
      <c r="G83" s="375"/>
      <c r="H83" s="375"/>
      <c r="I83" s="375"/>
      <c r="J83" s="375"/>
      <c r="K83" s="375"/>
      <c r="L83" s="375"/>
      <c r="M83" s="375"/>
      <c r="N83" s="375"/>
      <c r="P83" s="375"/>
      <c r="R83" s="375"/>
      <c r="S83" s="453"/>
    </row>
    <row r="84" spans="1:19" ht="13.5" thickBot="1">
      <c r="A84" s="453"/>
      <c r="B84" s="368" t="s">
        <v>953</v>
      </c>
      <c r="D84" s="465">
        <f aca="true" t="shared" si="20" ref="D84:P84">D69+D82</f>
        <v>-18633417</v>
      </c>
      <c r="E84" s="465">
        <f>E69+E82</f>
        <v>-14443480</v>
      </c>
      <c r="F84" s="465">
        <f t="shared" si="20"/>
        <v>-3138151</v>
      </c>
      <c r="G84" s="465">
        <f>G69+G82</f>
        <v>756164</v>
      </c>
      <c r="H84" s="465">
        <f t="shared" si="20"/>
        <v>-35458884</v>
      </c>
      <c r="I84" s="465"/>
      <c r="J84" s="465"/>
      <c r="K84" s="465"/>
      <c r="L84" s="465">
        <f t="shared" si="20"/>
        <v>647270</v>
      </c>
      <c r="M84" s="465">
        <f t="shared" si="20"/>
        <v>-34811614</v>
      </c>
      <c r="N84" s="465">
        <f t="shared" si="20"/>
        <v>124289349</v>
      </c>
      <c r="O84" s="745">
        <f>O69+O82</f>
        <v>22320036</v>
      </c>
      <c r="P84" s="465">
        <f t="shared" si="20"/>
        <v>146609385</v>
      </c>
      <c r="Q84" s="465">
        <f>Q69+Q82</f>
        <v>79538993</v>
      </c>
      <c r="R84" s="465">
        <f>R69+R82</f>
        <v>191336764</v>
      </c>
      <c r="S84" s="453"/>
    </row>
    <row r="85" spans="4:18" ht="14.25" customHeight="1" thickTop="1">
      <c r="D85" s="375"/>
      <c r="E85" s="375"/>
      <c r="F85" s="375"/>
      <c r="G85" s="375"/>
      <c r="H85" s="375"/>
      <c r="I85" s="375"/>
      <c r="J85" s="375"/>
      <c r="K85" s="375"/>
      <c r="L85" s="375"/>
      <c r="M85" s="375"/>
      <c r="N85" s="375"/>
      <c r="P85" s="375"/>
      <c r="R85" s="375"/>
    </row>
    <row r="86" spans="4:18" s="447" customFormat="1" ht="15" customHeight="1">
      <c r="D86" s="459">
        <f>+D84-D14</f>
        <v>0</v>
      </c>
      <c r="E86" s="466">
        <f>+E84-E14</f>
        <v>0</v>
      </c>
      <c r="F86" s="466">
        <f>+F84-F14</f>
        <v>0</v>
      </c>
      <c r="G86" s="466">
        <f aca="true" t="shared" si="21" ref="G86:Q86">+G84-G14</f>
        <v>0</v>
      </c>
      <c r="H86" s="466">
        <f t="shared" si="21"/>
        <v>0</v>
      </c>
      <c r="L86" s="466">
        <f>+L84-L14</f>
        <v>0</v>
      </c>
      <c r="M86" s="466">
        <f t="shared" si="21"/>
        <v>0</v>
      </c>
      <c r="N86" s="466">
        <f>+N84-N14</f>
        <v>0</v>
      </c>
      <c r="O86" s="466">
        <f>+O84-O14</f>
        <v>0</v>
      </c>
      <c r="P86" s="466">
        <f t="shared" si="21"/>
        <v>0</v>
      </c>
      <c r="Q86" s="466">
        <f t="shared" si="21"/>
        <v>0</v>
      </c>
      <c r="R86" s="466">
        <f>+R84-R14</f>
        <v>0</v>
      </c>
    </row>
    <row r="87" spans="1:18" ht="12.75">
      <c r="A87" s="450" t="s">
        <v>954</v>
      </c>
      <c r="B87" s="368" t="s">
        <v>606</v>
      </c>
      <c r="D87" s="375">
        <f>D54+D59+D79+D78</f>
        <v>-5813</v>
      </c>
      <c r="E87" s="375">
        <f>E54+E59+E79+E78</f>
        <v>323479</v>
      </c>
      <c r="F87" s="375">
        <f>F54+F59+F79+F78</f>
        <v>9706</v>
      </c>
      <c r="G87" s="375">
        <f>G54+G59+G79+G78</f>
        <v>9087</v>
      </c>
      <c r="H87" s="375">
        <f>H54+H59+H79+H78</f>
        <v>336459</v>
      </c>
      <c r="I87" s="375"/>
      <c r="J87" s="375"/>
      <c r="K87" s="375"/>
      <c r="L87" s="375">
        <f aca="true" t="shared" si="22" ref="L87:R87">L54+L59+L79+L78</f>
        <v>54079</v>
      </c>
      <c r="M87" s="375">
        <f t="shared" si="22"/>
        <v>390538</v>
      </c>
      <c r="N87" s="375">
        <f>N54+N59+N79+N78</f>
        <v>51571112</v>
      </c>
      <c r="O87" s="375">
        <f>O54+O59+O79+O78</f>
        <v>3388286</v>
      </c>
      <c r="P87" s="375">
        <f t="shared" si="22"/>
        <v>54959398</v>
      </c>
      <c r="Q87" s="375">
        <f t="shared" si="22"/>
        <v>-1993354</v>
      </c>
      <c r="R87" s="375">
        <f t="shared" si="22"/>
        <v>53356582</v>
      </c>
    </row>
    <row r="88" ht="12.75">
      <c r="B88" s="368" t="s">
        <v>80</v>
      </c>
    </row>
    <row r="94" ht="12" customHeight="1"/>
    <row r="96" ht="12" customHeight="1"/>
  </sheetData>
  <printOptions horizontalCentered="1" verticalCentered="1"/>
  <pageMargins left="0.25" right="0.25" top="0.5" bottom="0" header="0.32" footer="0.26"/>
  <pageSetup horizontalDpi="300" verticalDpi="300" orientation="landscape" paperSize="9" scale="66" r:id="rId1"/>
  <headerFooter alignWithMargins="0">
    <oddHeader>&amp;R&amp;D &amp;T</oddHeader>
  </headerFooter>
  <rowBreaks count="1" manualBreakCount="1">
    <brk id="49" max="255" man="1"/>
  </rowBreaks>
</worksheet>
</file>

<file path=xl/worksheets/sheet18.xml><?xml version="1.0" encoding="utf-8"?>
<worksheet xmlns="http://schemas.openxmlformats.org/spreadsheetml/2006/main" xmlns:r="http://schemas.openxmlformats.org/officeDocument/2006/relationships">
  <sheetPr>
    <tabColor indexed="46"/>
  </sheetPr>
  <dimension ref="A1:AG156"/>
  <sheetViews>
    <sheetView view="pageBreakPreview" zoomScaleSheetLayoutView="100" workbookViewId="0" topLeftCell="A1">
      <pane xSplit="1" ySplit="5" topLeftCell="X77" activePane="bottomRight" state="frozen"/>
      <selection pane="topLeft" activeCell="A1" sqref="A1"/>
      <selection pane="topRight" activeCell="B1" sqref="B1"/>
      <selection pane="bottomLeft" activeCell="A6" sqref="A6"/>
      <selection pane="bottomRight" activeCell="AD155" sqref="AD155"/>
    </sheetView>
  </sheetViews>
  <sheetFormatPr defaultColWidth="12.7109375" defaultRowHeight="12.75"/>
  <cols>
    <col min="1" max="1" width="26.28125" style="541" customWidth="1"/>
    <col min="2" max="2" width="11.8515625" style="362" bestFit="1" customWidth="1"/>
    <col min="3" max="3" width="14.00390625" style="362" bestFit="1" customWidth="1"/>
    <col min="4" max="4" width="14.421875" style="362" bestFit="1" customWidth="1"/>
    <col min="5" max="5" width="13.28125" style="362" customWidth="1"/>
    <col min="6" max="6" width="12.8515625" style="362" customWidth="1"/>
    <col min="7" max="7" width="11.28125" style="362" customWidth="1"/>
    <col min="8" max="8" width="10.8515625" style="362" bestFit="1" customWidth="1"/>
    <col min="9" max="9" width="15.00390625" style="362" customWidth="1"/>
    <col min="10" max="10" width="4.7109375" style="362" hidden="1" customWidth="1"/>
    <col min="11" max="11" width="15.00390625" style="362" bestFit="1" customWidth="1"/>
    <col min="12" max="12" width="4.7109375" style="362" hidden="1" customWidth="1"/>
    <col min="13" max="13" width="14.421875" style="362" customWidth="1"/>
    <col min="14" max="14" width="12.8515625" style="362" bestFit="1" customWidth="1"/>
    <col min="15" max="15" width="8.8515625" style="362" bestFit="1" customWidth="1"/>
    <col min="16" max="16" width="10.8515625" style="362" bestFit="1" customWidth="1"/>
    <col min="17" max="17" width="11.8515625" style="362" customWidth="1"/>
    <col min="18" max="18" width="14.00390625" style="362" bestFit="1" customWidth="1"/>
    <col min="19" max="19" width="15.7109375" style="362" customWidth="1"/>
    <col min="20" max="20" width="14.7109375" style="362" customWidth="1"/>
    <col min="21" max="21" width="11.28125" style="362" bestFit="1" customWidth="1"/>
    <col min="22" max="22" width="12.00390625" style="362" customWidth="1"/>
    <col min="23" max="23" width="15.421875" style="362" bestFit="1" customWidth="1"/>
    <col min="24" max="24" width="12.8515625" style="541" customWidth="1"/>
    <col min="25" max="25" width="15.57421875" style="362" bestFit="1" customWidth="1"/>
    <col min="26" max="26" width="16.8515625" style="366" bestFit="1" customWidth="1"/>
    <col min="27" max="27" width="14.00390625" style="362" hidden="1" customWidth="1"/>
    <col min="28" max="28" width="15.28125" style="362" hidden="1" customWidth="1"/>
    <col min="29" max="29" width="0" style="362" hidden="1" customWidth="1"/>
    <col min="30" max="30" width="12.7109375" style="366" customWidth="1"/>
    <col min="31" max="31" width="12.7109375" style="362" customWidth="1"/>
    <col min="32" max="32" width="14.00390625" style="362" bestFit="1" customWidth="1"/>
    <col min="33" max="33" width="15.57421875" style="362" bestFit="1" customWidth="1"/>
    <col min="34" max="34" width="18.28125" style="362" bestFit="1" customWidth="1"/>
    <col min="35" max="35" width="15.57421875" style="362" bestFit="1" customWidth="1"/>
    <col min="36" max="16384" width="12.7109375" style="362" customWidth="1"/>
  </cols>
  <sheetData>
    <row r="1" ht="12.75">
      <c r="A1" s="649" t="s">
        <v>289</v>
      </c>
    </row>
    <row r="2" spans="1:25" ht="12.75">
      <c r="A2" s="649" t="s">
        <v>1197</v>
      </c>
      <c r="O2" s="741"/>
      <c r="Y2" s="375"/>
    </row>
    <row r="3" spans="2:22" ht="12.75" customHeight="1">
      <c r="B3" s="925"/>
      <c r="C3" s="925"/>
      <c r="D3" s="925"/>
      <c r="E3" s="925"/>
      <c r="F3" s="925"/>
      <c r="G3" s="925"/>
      <c r="H3" s="925"/>
      <c r="I3" s="925"/>
      <c r="K3" s="814"/>
      <c r="M3" s="925"/>
      <c r="N3" s="925"/>
      <c r="O3" s="931"/>
      <c r="P3" s="925"/>
      <c r="Q3" s="925"/>
      <c r="R3" s="925"/>
      <c r="S3" s="925"/>
      <c r="T3" s="814"/>
      <c r="U3" s="814"/>
      <c r="V3" s="925"/>
    </row>
    <row r="4" spans="1:26" ht="12.75">
      <c r="A4" s="650"/>
      <c r="B4" s="652" t="s">
        <v>866</v>
      </c>
      <c r="C4" s="364" t="s">
        <v>513</v>
      </c>
      <c r="D4" s="364" t="s">
        <v>320</v>
      </c>
      <c r="E4" s="364" t="s">
        <v>321</v>
      </c>
      <c r="F4" s="364" t="s">
        <v>555</v>
      </c>
      <c r="G4" s="364" t="s">
        <v>332</v>
      </c>
      <c r="H4" s="364" t="s">
        <v>323</v>
      </c>
      <c r="I4" s="364" t="s">
        <v>291</v>
      </c>
      <c r="J4" s="364"/>
      <c r="K4" s="364" t="s">
        <v>318</v>
      </c>
      <c r="L4" s="364"/>
      <c r="M4" s="364" t="s">
        <v>518</v>
      </c>
      <c r="N4" s="364" t="s">
        <v>292</v>
      </c>
      <c r="O4" s="364" t="s">
        <v>556</v>
      </c>
      <c r="P4" s="364" t="s">
        <v>336</v>
      </c>
      <c r="Q4" s="364" t="s">
        <v>557</v>
      </c>
      <c r="R4" s="364" t="s">
        <v>558</v>
      </c>
      <c r="S4" s="364" t="s">
        <v>519</v>
      </c>
      <c r="T4" s="364" t="s">
        <v>152</v>
      </c>
      <c r="U4" s="364" t="s">
        <v>294</v>
      </c>
      <c r="V4" s="364" t="s">
        <v>328</v>
      </c>
      <c r="W4" s="651" t="s">
        <v>559</v>
      </c>
      <c r="X4" s="1132" t="s">
        <v>296</v>
      </c>
      <c r="Y4" s="1131"/>
      <c r="Z4" s="364" t="s">
        <v>560</v>
      </c>
    </row>
    <row r="5" spans="1:31" ht="12.75">
      <c r="A5" s="653"/>
      <c r="B5" s="652" t="s">
        <v>521</v>
      </c>
      <c r="C5" s="364" t="s">
        <v>521</v>
      </c>
      <c r="D5" s="364" t="s">
        <v>521</v>
      </c>
      <c r="E5" s="364" t="s">
        <v>521</v>
      </c>
      <c r="F5" s="364" t="s">
        <v>521</v>
      </c>
      <c r="G5" s="364" t="s">
        <v>521</v>
      </c>
      <c r="H5" s="364" t="s">
        <v>521</v>
      </c>
      <c r="I5" s="364" t="s">
        <v>521</v>
      </c>
      <c r="J5" s="364"/>
      <c r="K5" s="364" t="s">
        <v>521</v>
      </c>
      <c r="L5" s="364"/>
      <c r="M5" s="364" t="s">
        <v>521</v>
      </c>
      <c r="N5" s="364" t="s">
        <v>521</v>
      </c>
      <c r="O5" s="364" t="s">
        <v>521</v>
      </c>
      <c r="P5" s="364" t="s">
        <v>521</v>
      </c>
      <c r="Q5" s="364" t="s">
        <v>521</v>
      </c>
      <c r="R5" s="364" t="s">
        <v>521</v>
      </c>
      <c r="S5" s="364" t="s">
        <v>521</v>
      </c>
      <c r="T5" s="364" t="s">
        <v>521</v>
      </c>
      <c r="U5" s="364" t="s">
        <v>521</v>
      </c>
      <c r="V5" s="364" t="s">
        <v>521</v>
      </c>
      <c r="W5" s="651" t="s">
        <v>521</v>
      </c>
      <c r="X5" s="654"/>
      <c r="Y5" s="652" t="s">
        <v>521</v>
      </c>
      <c r="Z5" s="364" t="s">
        <v>521</v>
      </c>
      <c r="AD5" s="655" t="s">
        <v>62</v>
      </c>
      <c r="AE5" s="656" t="s">
        <v>837</v>
      </c>
    </row>
    <row r="6" spans="1:31" ht="12.75">
      <c r="A6" s="653"/>
      <c r="B6" s="652"/>
      <c r="C6" s="364"/>
      <c r="D6" s="364"/>
      <c r="E6" s="364"/>
      <c r="F6" s="364"/>
      <c r="G6" s="364"/>
      <c r="H6" s="364"/>
      <c r="I6" s="364"/>
      <c r="J6" s="364"/>
      <c r="K6" s="364"/>
      <c r="L6" s="364"/>
      <c r="M6" s="364"/>
      <c r="N6" s="364"/>
      <c r="O6" s="364"/>
      <c r="P6" s="364"/>
      <c r="Q6" s="364"/>
      <c r="R6" s="364"/>
      <c r="S6" s="364"/>
      <c r="T6" s="818" t="str">
        <f>+'P&amp;L'!R7</f>
        <v>Dis 7/7/06</v>
      </c>
      <c r="U6" s="818" t="str">
        <f>+'P&amp;L'!S7</f>
        <v>Dis 2/10/06</v>
      </c>
      <c r="V6" s="364"/>
      <c r="W6" s="651"/>
      <c r="X6" s="654"/>
      <c r="Y6" s="652"/>
      <c r="Z6" s="364"/>
      <c r="AD6" s="655"/>
      <c r="AE6" s="656"/>
    </row>
    <row r="7" spans="1:26" ht="12.75">
      <c r="A7" s="657"/>
      <c r="B7" s="357"/>
      <c r="C7" s="748">
        <v>0.9333</v>
      </c>
      <c r="D7" s="357"/>
      <c r="E7" s="357"/>
      <c r="F7" s="357"/>
      <c r="G7" s="357"/>
      <c r="H7" s="357"/>
      <c r="I7" s="357"/>
      <c r="J7" s="357"/>
      <c r="K7" s="357"/>
      <c r="L7" s="357"/>
      <c r="M7" s="749">
        <v>0.6</v>
      </c>
      <c r="N7" s="749">
        <v>0.6</v>
      </c>
      <c r="O7" s="749">
        <v>0.6</v>
      </c>
      <c r="P7" s="357"/>
      <c r="Q7" s="357"/>
      <c r="R7" s="357"/>
      <c r="S7" s="357"/>
      <c r="T7" s="749">
        <v>0.7</v>
      </c>
      <c r="U7" s="749">
        <v>0.7</v>
      </c>
      <c r="V7" s="357"/>
      <c r="W7" s="359"/>
      <c r="X7" s="436"/>
      <c r="Y7" s="358"/>
      <c r="Z7" s="360"/>
    </row>
    <row r="8" spans="1:26" ht="6" customHeight="1">
      <c r="A8" s="436"/>
      <c r="B8" s="357"/>
      <c r="C8" s="357"/>
      <c r="D8" s="357"/>
      <c r="E8" s="357"/>
      <c r="F8" s="357"/>
      <c r="G8" s="357"/>
      <c r="H8" s="357"/>
      <c r="I8" s="357"/>
      <c r="J8" s="357"/>
      <c r="K8" s="357"/>
      <c r="L8" s="357"/>
      <c r="M8" s="357"/>
      <c r="N8" s="357"/>
      <c r="O8" s="357"/>
      <c r="P8" s="357"/>
      <c r="Q8" s="357"/>
      <c r="R8" s="357"/>
      <c r="S8" s="357"/>
      <c r="T8" s="357"/>
      <c r="U8" s="357"/>
      <c r="V8" s="357"/>
      <c r="W8" s="359"/>
      <c r="X8" s="436"/>
      <c r="Y8" s="358"/>
      <c r="Z8" s="360"/>
    </row>
    <row r="9" spans="1:33" ht="12.75">
      <c r="A9" s="436" t="s">
        <v>290</v>
      </c>
      <c r="B9" s="357">
        <f>+'bs'!D63/1000</f>
        <v>355.15</v>
      </c>
      <c r="C9" s="360">
        <f>+'bs'!E63/1000</f>
        <v>4665.141</v>
      </c>
      <c r="D9" s="357">
        <f>+'bs'!F63/1000</f>
        <v>1903.871</v>
      </c>
      <c r="E9" s="357">
        <f>+'bs'!G63/1000</f>
        <v>0.66</v>
      </c>
      <c r="F9" s="360">
        <f>10.533-10.532</f>
        <v>0.0009999999999994458</v>
      </c>
      <c r="G9" s="360">
        <f>0.002+0.0001</f>
        <v>0.0021</v>
      </c>
      <c r="H9" s="357">
        <f>+'bs'!L63/1000</f>
        <v>99.777</v>
      </c>
      <c r="I9" s="357">
        <v>0</v>
      </c>
      <c r="J9" s="357"/>
      <c r="K9" s="357">
        <f>+'bs'!Q63/1000</f>
        <v>1892.394</v>
      </c>
      <c r="L9" s="357"/>
      <c r="M9" s="357">
        <f>+'bs'!N63/1000</f>
        <v>32224.701</v>
      </c>
      <c r="N9" s="357">
        <f>+'bs'!O63/1000</f>
        <v>15662.998</v>
      </c>
      <c r="O9" s="357">
        <v>0</v>
      </c>
      <c r="P9" s="357">
        <v>0</v>
      </c>
      <c r="Q9" s="357">
        <v>0</v>
      </c>
      <c r="R9" s="357">
        <v>0</v>
      </c>
      <c r="S9" s="357">
        <v>0</v>
      </c>
      <c r="T9" s="357"/>
      <c r="U9" s="357">
        <v>0</v>
      </c>
      <c r="V9" s="357">
        <v>0</v>
      </c>
      <c r="W9" s="359">
        <f>SUM(B9:V9)</f>
        <v>56804.6951</v>
      </c>
      <c r="X9" s="436" t="s">
        <v>1301</v>
      </c>
      <c r="Y9" s="358">
        <f>je!M157/1000</f>
        <v>-3044.5181</v>
      </c>
      <c r="Z9" s="360">
        <f>W9+Y9</f>
        <v>53760.176999999996</v>
      </c>
      <c r="AD9" s="366">
        <v>54561.057</v>
      </c>
      <c r="AE9" s="362">
        <f>Z9-AD9</f>
        <v>-800.8800000000047</v>
      </c>
      <c r="AG9" s="362">
        <f>'[3]B. Sheet'!$AA$8</f>
        <v>48754.1599</v>
      </c>
    </row>
    <row r="10" spans="1:33" ht="12.75">
      <c r="A10" s="436"/>
      <c r="B10" s="357"/>
      <c r="C10" s="357"/>
      <c r="D10" s="357"/>
      <c r="E10" s="357"/>
      <c r="F10" s="357"/>
      <c r="G10" s="357"/>
      <c r="H10" s="357"/>
      <c r="I10" s="357"/>
      <c r="J10" s="357"/>
      <c r="K10" s="357"/>
      <c r="L10" s="357"/>
      <c r="M10" s="357"/>
      <c r="N10" s="357"/>
      <c r="O10" s="357"/>
      <c r="P10" s="357"/>
      <c r="Q10" s="357"/>
      <c r="R10" s="357"/>
      <c r="S10" s="357"/>
      <c r="T10" s="357"/>
      <c r="U10" s="357"/>
      <c r="V10" s="357"/>
      <c r="W10" s="359"/>
      <c r="X10" s="436"/>
      <c r="Y10" s="358"/>
      <c r="Z10" s="360"/>
      <c r="AG10" s="362">
        <f>Z9+'P&amp;L'!U94+'P&amp;L'!U95+'P&amp;L'!U96</f>
        <v>67456.42499999999</v>
      </c>
    </row>
    <row r="11" spans="1:33" ht="12.75">
      <c r="A11" s="436" t="s">
        <v>1407</v>
      </c>
      <c r="B11" s="357">
        <v>0</v>
      </c>
      <c r="C11" s="357">
        <v>0</v>
      </c>
      <c r="D11" s="357">
        <v>0</v>
      </c>
      <c r="E11" s="357">
        <v>0</v>
      </c>
      <c r="F11" s="357">
        <v>0</v>
      </c>
      <c r="G11" s="357">
        <v>0</v>
      </c>
      <c r="H11" s="357">
        <v>0</v>
      </c>
      <c r="I11" s="357">
        <v>0</v>
      </c>
      <c r="J11" s="357"/>
      <c r="K11" s="357">
        <f>+'bs'!Q65/1000-K20</f>
        <v>0</v>
      </c>
      <c r="L11" s="357"/>
      <c r="M11" s="357">
        <v>0</v>
      </c>
      <c r="N11" s="357">
        <v>0</v>
      </c>
      <c r="O11" s="357">
        <v>0</v>
      </c>
      <c r="P11" s="357">
        <v>0</v>
      </c>
      <c r="Q11" s="360">
        <f>3437000/1000-592200/1000</f>
        <v>2844.8</v>
      </c>
      <c r="R11" s="357">
        <v>0</v>
      </c>
      <c r="S11" s="357">
        <v>0</v>
      </c>
      <c r="T11" s="357">
        <v>0</v>
      </c>
      <c r="U11" s="357">
        <v>0</v>
      </c>
      <c r="V11" s="357">
        <v>0</v>
      </c>
      <c r="W11" s="359">
        <f>SUM(B11:V11)</f>
        <v>2844.8</v>
      </c>
      <c r="X11" s="436"/>
      <c r="Y11" s="358"/>
      <c r="Z11" s="360">
        <f>+W11</f>
        <v>2844.8</v>
      </c>
      <c r="AD11" s="366">
        <v>2894.8</v>
      </c>
      <c r="AE11" s="362">
        <f>Z11-AD11</f>
        <v>-50</v>
      </c>
      <c r="AG11" s="362">
        <f>AG10-AG9</f>
        <v>18702.26509999999</v>
      </c>
    </row>
    <row r="12" spans="1:26" ht="12.75">
      <c r="A12" s="436"/>
      <c r="B12" s="357"/>
      <c r="C12" s="357"/>
      <c r="D12" s="357"/>
      <c r="E12" s="357"/>
      <c r="F12" s="357"/>
      <c r="G12" s="357"/>
      <c r="H12" s="357"/>
      <c r="I12" s="357"/>
      <c r="J12" s="357"/>
      <c r="K12" s="357"/>
      <c r="L12" s="357"/>
      <c r="M12" s="357"/>
      <c r="N12" s="357"/>
      <c r="O12" s="357"/>
      <c r="P12" s="357"/>
      <c r="Q12" s="357"/>
      <c r="R12" s="357"/>
      <c r="S12" s="357"/>
      <c r="T12" s="357"/>
      <c r="U12" s="357"/>
      <c r="V12" s="357"/>
      <c r="W12" s="359">
        <f>SUM(B12:V12)</f>
        <v>0</v>
      </c>
      <c r="X12" s="436"/>
      <c r="Y12" s="358"/>
      <c r="Z12" s="360"/>
    </row>
    <row r="13" spans="1:31" ht="12.75">
      <c r="A13" s="436" t="s">
        <v>562</v>
      </c>
      <c r="B13" s="357">
        <v>0</v>
      </c>
      <c r="C13" s="357">
        <v>0</v>
      </c>
      <c r="D13" s="357">
        <v>0</v>
      </c>
      <c r="E13" s="357">
        <v>0</v>
      </c>
      <c r="F13" s="357">
        <v>0</v>
      </c>
      <c r="G13" s="357">
        <v>0</v>
      </c>
      <c r="H13" s="357">
        <v>0</v>
      </c>
      <c r="I13" s="357">
        <v>0</v>
      </c>
      <c r="J13" s="357"/>
      <c r="K13" s="357">
        <v>0</v>
      </c>
      <c r="L13" s="357"/>
      <c r="M13" s="357">
        <v>0</v>
      </c>
      <c r="N13" s="357">
        <v>0</v>
      </c>
      <c r="O13" s="357">
        <v>0</v>
      </c>
      <c r="P13" s="357">
        <v>0</v>
      </c>
      <c r="Q13" s="357">
        <v>0</v>
      </c>
      <c r="R13" s="357">
        <v>0</v>
      </c>
      <c r="S13" s="360">
        <v>2009.253</v>
      </c>
      <c r="T13" s="357"/>
      <c r="U13" s="357">
        <v>0</v>
      </c>
      <c r="V13" s="357">
        <v>0</v>
      </c>
      <c r="W13" s="359">
        <f>SUM(B13:V13)</f>
        <v>2009.253</v>
      </c>
      <c r="X13" s="436"/>
      <c r="Y13" s="358">
        <f>Z13-W13</f>
        <v>0</v>
      </c>
      <c r="Z13" s="360">
        <f>W13</f>
        <v>2009.253</v>
      </c>
      <c r="AD13" s="366">
        <v>1907.729</v>
      </c>
      <c r="AE13" s="362">
        <f>Z13-AD13</f>
        <v>101.52399999999989</v>
      </c>
    </row>
    <row r="14" spans="1:26" ht="12.75">
      <c r="A14" s="436"/>
      <c r="B14" s="357"/>
      <c r="C14" s="357"/>
      <c r="D14" s="357"/>
      <c r="E14" s="357"/>
      <c r="F14" s="357"/>
      <c r="G14" s="357"/>
      <c r="H14" s="357"/>
      <c r="I14" s="357"/>
      <c r="J14" s="357"/>
      <c r="K14" s="357"/>
      <c r="L14" s="357"/>
      <c r="M14" s="357"/>
      <c r="N14" s="357"/>
      <c r="O14" s="357"/>
      <c r="P14" s="357"/>
      <c r="Q14" s="357"/>
      <c r="R14" s="357"/>
      <c r="S14" s="357"/>
      <c r="T14" s="357"/>
      <c r="U14" s="357"/>
      <c r="V14" s="357"/>
      <c r="W14" s="359"/>
      <c r="X14" s="436"/>
      <c r="Y14" s="358"/>
      <c r="Z14" s="360"/>
    </row>
    <row r="15" spans="1:26" ht="12.75">
      <c r="A15" s="436" t="s">
        <v>563</v>
      </c>
      <c r="B15" s="357">
        <v>0</v>
      </c>
      <c r="C15" s="357">
        <v>0</v>
      </c>
      <c r="D15" s="357">
        <v>0</v>
      </c>
      <c r="E15" s="357">
        <v>0</v>
      </c>
      <c r="F15" s="357">
        <v>0</v>
      </c>
      <c r="G15" s="357">
        <v>0</v>
      </c>
      <c r="H15" s="357">
        <v>0</v>
      </c>
      <c r="I15" s="357">
        <v>0</v>
      </c>
      <c r="J15" s="357"/>
      <c r="K15" s="898">
        <f>-(+'bs'!Q46/1000+K16)</f>
        <v>27984.581690000003</v>
      </c>
      <c r="L15" s="896"/>
      <c r="M15" s="898">
        <f>-('bs'!N33+'bs'!N38)/1000-M18</f>
        <v>-4803.241</v>
      </c>
      <c r="N15" s="357">
        <v>0</v>
      </c>
      <c r="O15" s="357">
        <v>0</v>
      </c>
      <c r="P15" s="357">
        <v>0</v>
      </c>
      <c r="Q15" s="357">
        <v>0</v>
      </c>
      <c r="R15" s="357">
        <v>0</v>
      </c>
      <c r="S15" s="357"/>
      <c r="T15" s="357"/>
      <c r="U15" s="357">
        <v>0</v>
      </c>
      <c r="V15" s="357">
        <v>0</v>
      </c>
      <c r="W15" s="359">
        <f>SUM(B15:V15)</f>
        <v>23181.340690000005</v>
      </c>
      <c r="X15" s="436" t="s">
        <v>81</v>
      </c>
      <c r="Y15" s="892">
        <f>+je!M166/1000</f>
        <v>13997.631</v>
      </c>
      <c r="Z15" s="360"/>
    </row>
    <row r="16" spans="1:26" ht="12.75">
      <c r="A16" s="436" t="s">
        <v>830</v>
      </c>
      <c r="B16" s="357">
        <v>0</v>
      </c>
      <c r="C16" s="357">
        <v>0</v>
      </c>
      <c r="D16" s="357">
        <v>0</v>
      </c>
      <c r="E16" s="357">
        <v>0</v>
      </c>
      <c r="F16" s="357">
        <v>0</v>
      </c>
      <c r="G16" s="357">
        <v>0</v>
      </c>
      <c r="H16" s="357">
        <v>0</v>
      </c>
      <c r="I16" s="357">
        <v>0</v>
      </c>
      <c r="J16" s="357"/>
      <c r="K16" s="357">
        <v>-33056.91</v>
      </c>
      <c r="L16" s="357"/>
      <c r="M16" s="357">
        <v>0</v>
      </c>
      <c r="N16" s="357">
        <v>0</v>
      </c>
      <c r="O16" s="357">
        <v>0</v>
      </c>
      <c r="P16" s="357">
        <v>0</v>
      </c>
      <c r="Q16" s="357">
        <v>0</v>
      </c>
      <c r="R16" s="357">
        <v>0</v>
      </c>
      <c r="S16" s="357">
        <v>0</v>
      </c>
      <c r="T16" s="357"/>
      <c r="U16" s="357">
        <v>0</v>
      </c>
      <c r="V16" s="357">
        <v>0</v>
      </c>
      <c r="W16" s="359">
        <f>SUM(B16:V16)</f>
        <v>-33056.91</v>
      </c>
      <c r="X16" s="436" t="s">
        <v>844</v>
      </c>
      <c r="Y16" s="893">
        <f>je!M78/1000+je!M170/1000+je!M181/1000</f>
        <v>-14.590000000000146</v>
      </c>
      <c r="Z16" s="360"/>
    </row>
    <row r="17" spans="1:26" ht="12.75">
      <c r="A17" s="436" t="s">
        <v>1214</v>
      </c>
      <c r="B17" s="357">
        <v>0</v>
      </c>
      <c r="C17" s="357">
        <v>0</v>
      </c>
      <c r="D17" s="357">
        <v>0</v>
      </c>
      <c r="E17" s="357">
        <v>0</v>
      </c>
      <c r="F17" s="357">
        <v>0</v>
      </c>
      <c r="G17" s="357">
        <v>0</v>
      </c>
      <c r="H17" s="357">
        <v>0</v>
      </c>
      <c r="I17" s="357">
        <v>0</v>
      </c>
      <c r="J17" s="357"/>
      <c r="K17" s="357"/>
      <c r="L17" s="357"/>
      <c r="M17" s="357">
        <v>0</v>
      </c>
      <c r="N17" s="357">
        <v>0</v>
      </c>
      <c r="O17" s="357">
        <v>0</v>
      </c>
      <c r="P17" s="357">
        <v>0</v>
      </c>
      <c r="Q17" s="357">
        <v>0</v>
      </c>
      <c r="R17" s="357">
        <v>0</v>
      </c>
      <c r="S17" s="357">
        <v>0</v>
      </c>
      <c r="T17" s="357"/>
      <c r="U17" s="357">
        <v>0</v>
      </c>
      <c r="V17" s="357">
        <v>0</v>
      </c>
      <c r="W17" s="359">
        <f>SUM(B17:V17)</f>
        <v>0</v>
      </c>
      <c r="X17" s="436"/>
      <c r="Y17" s="358"/>
      <c r="Z17" s="360"/>
    </row>
    <row r="18" spans="1:28" ht="12.75">
      <c r="A18" s="436" t="s">
        <v>1188</v>
      </c>
      <c r="B18" s="357">
        <v>0</v>
      </c>
      <c r="C18" s="357">
        <v>0</v>
      </c>
      <c r="D18" s="357">
        <v>0</v>
      </c>
      <c r="E18" s="357">
        <v>0</v>
      </c>
      <c r="F18" s="357">
        <v>0</v>
      </c>
      <c r="G18" s="357">
        <v>0</v>
      </c>
      <c r="H18" s="357">
        <v>0</v>
      </c>
      <c r="I18" s="357">
        <v>0</v>
      </c>
      <c r="J18" s="357"/>
      <c r="K18" s="357">
        <f>+'bs'!Q64/1000</f>
        <v>88582.958</v>
      </c>
      <c r="L18" s="357"/>
      <c r="M18" s="357">
        <v>1156</v>
      </c>
      <c r="N18" s="357">
        <v>0</v>
      </c>
      <c r="O18" s="357">
        <v>0</v>
      </c>
      <c r="P18" s="357">
        <v>0</v>
      </c>
      <c r="Q18" s="357">
        <v>0</v>
      </c>
      <c r="R18" s="360">
        <f>1617.501+4631.58+1.8-3556.82</f>
        <v>2694.061</v>
      </c>
      <c r="S18" s="357">
        <v>0</v>
      </c>
      <c r="T18" s="357"/>
      <c r="U18" s="357">
        <v>0</v>
      </c>
      <c r="V18" s="357">
        <v>0</v>
      </c>
      <c r="W18" s="359">
        <f>SUM(B18:V18)</f>
        <v>92433.019</v>
      </c>
      <c r="X18" s="436" t="s">
        <v>564</v>
      </c>
      <c r="Y18" s="358">
        <f>je!I233/1000-1474.575</f>
        <v>-96540.49068999999</v>
      </c>
      <c r="Z18" s="360"/>
      <c r="AB18" s="658">
        <f>+W15+W16+W17+W18+je!I233/1000+je!M166/1000+Y16</f>
        <v>1474.5750000000135</v>
      </c>
    </row>
    <row r="19" spans="1:31" ht="12.75">
      <c r="A19" s="436"/>
      <c r="B19" s="357"/>
      <c r="C19" s="357"/>
      <c r="D19" s="357"/>
      <c r="E19" s="357"/>
      <c r="F19" s="357"/>
      <c r="G19" s="357"/>
      <c r="H19" s="357"/>
      <c r="I19" s="357"/>
      <c r="J19" s="357"/>
      <c r="K19" s="357"/>
      <c r="L19" s="357"/>
      <c r="M19" s="357"/>
      <c r="N19" s="357"/>
      <c r="O19" s="357"/>
      <c r="P19" s="357"/>
      <c r="Q19" s="357"/>
      <c r="R19" s="357"/>
      <c r="S19" s="357"/>
      <c r="T19" s="357"/>
      <c r="U19" s="357"/>
      <c r="V19" s="357"/>
      <c r="W19" s="359"/>
      <c r="X19" s="436" t="s">
        <v>421</v>
      </c>
      <c r="Y19" s="358"/>
      <c r="Z19" s="360">
        <f>+W15+W16+W17+W18+Y15+Y18+Y19+Y16-Y17</f>
        <v>1.0913936421275139E-11</v>
      </c>
      <c r="AD19" s="366">
        <v>7.275957614183426E-12</v>
      </c>
      <c r="AE19" s="362">
        <f aca="true" t="shared" si="0" ref="AE19:AE82">Z19-AD19</f>
        <v>3.637978807091713E-12</v>
      </c>
    </row>
    <row r="20" spans="1:31" ht="12.75">
      <c r="A20" s="436" t="s">
        <v>565</v>
      </c>
      <c r="B20" s="357">
        <v>0</v>
      </c>
      <c r="C20" s="357">
        <v>0</v>
      </c>
      <c r="D20" s="357">
        <v>0</v>
      </c>
      <c r="E20" s="357">
        <v>0</v>
      </c>
      <c r="F20" s="357">
        <v>0</v>
      </c>
      <c r="G20" s="357">
        <v>0</v>
      </c>
      <c r="H20" s="357">
        <v>0</v>
      </c>
      <c r="I20" s="357">
        <v>0</v>
      </c>
      <c r="J20" s="357"/>
      <c r="K20" s="357">
        <f>'bs'!Q65/1000</f>
        <v>700.001</v>
      </c>
      <c r="L20" s="357"/>
      <c r="M20" s="357">
        <f>+'bs'!N64/1000</f>
        <v>754.876</v>
      </c>
      <c r="N20" s="357">
        <v>0</v>
      </c>
      <c r="O20" s="357">
        <v>0</v>
      </c>
      <c r="P20" s="357">
        <v>0</v>
      </c>
      <c r="Q20" s="357">
        <v>0</v>
      </c>
      <c r="R20" s="357">
        <v>0</v>
      </c>
      <c r="S20" s="357">
        <v>0</v>
      </c>
      <c r="T20" s="357"/>
      <c r="U20" s="357">
        <v>0</v>
      </c>
      <c r="V20" s="357">
        <v>0</v>
      </c>
      <c r="W20" s="359">
        <f>SUM(B20:V20)</f>
        <v>1454.877</v>
      </c>
      <c r="X20" s="436" t="s">
        <v>566</v>
      </c>
      <c r="Y20" s="358">
        <f>+je!J233/1000</f>
        <v>9126.518699999999</v>
      </c>
      <c r="Z20" s="360">
        <f>+Y20+W20+Y21</f>
        <v>10581.3957</v>
      </c>
      <c r="AD20" s="366">
        <v>10405.097</v>
      </c>
      <c r="AE20" s="362">
        <f t="shared" si="0"/>
        <v>176.29869999999937</v>
      </c>
    </row>
    <row r="21" spans="1:26" ht="12.75">
      <c r="A21" s="436"/>
      <c r="B21" s="357"/>
      <c r="C21" s="357"/>
      <c r="D21" s="357"/>
      <c r="E21" s="357"/>
      <c r="F21" s="357"/>
      <c r="G21" s="357"/>
      <c r="H21" s="357"/>
      <c r="I21" s="357"/>
      <c r="J21" s="357"/>
      <c r="K21" s="357"/>
      <c r="L21" s="357"/>
      <c r="M21" s="357"/>
      <c r="N21" s="357"/>
      <c r="O21" s="357"/>
      <c r="P21" s="357"/>
      <c r="Q21" s="357"/>
      <c r="R21" s="357"/>
      <c r="S21" s="357"/>
      <c r="T21" s="357"/>
      <c r="U21" s="357"/>
      <c r="V21" s="357"/>
      <c r="W21" s="359"/>
      <c r="X21" s="436"/>
      <c r="Y21" s="358"/>
      <c r="Z21" s="360"/>
    </row>
    <row r="22" spans="1:31" ht="12.75">
      <c r="A22" s="436" t="s">
        <v>1642</v>
      </c>
      <c r="B22" s="357">
        <v>0</v>
      </c>
      <c r="C22" s="357">
        <v>0</v>
      </c>
      <c r="D22" s="357">
        <v>0</v>
      </c>
      <c r="E22" s="357">
        <v>0</v>
      </c>
      <c r="F22" s="357">
        <v>0</v>
      </c>
      <c r="G22" s="357">
        <v>0</v>
      </c>
      <c r="H22" s="357">
        <v>0</v>
      </c>
      <c r="I22" s="357">
        <v>0</v>
      </c>
      <c r="J22" s="357"/>
      <c r="K22" s="357">
        <v>0</v>
      </c>
      <c r="L22" s="357"/>
      <c r="M22" s="357">
        <v>0</v>
      </c>
      <c r="N22" s="357">
        <v>0</v>
      </c>
      <c r="O22" s="357">
        <v>0</v>
      </c>
      <c r="P22" s="357">
        <v>0</v>
      </c>
      <c r="Q22" s="357">
        <v>0</v>
      </c>
      <c r="R22" s="357">
        <v>0</v>
      </c>
      <c r="S22" s="357">
        <v>0</v>
      </c>
      <c r="T22" s="357"/>
      <c r="U22" s="357">
        <v>0</v>
      </c>
      <c r="V22" s="357">
        <v>0</v>
      </c>
      <c r="W22" s="359">
        <f>SUM(B22:V22)</f>
        <v>0</v>
      </c>
      <c r="X22" s="436" t="s">
        <v>1643</v>
      </c>
      <c r="Y22" s="358">
        <f>je!M211/1000</f>
        <v>0</v>
      </c>
      <c r="Z22" s="360">
        <f>+Y22+W22</f>
        <v>0</v>
      </c>
      <c r="AD22" s="366">
        <v>0</v>
      </c>
      <c r="AE22" s="362">
        <f t="shared" si="0"/>
        <v>0</v>
      </c>
    </row>
    <row r="23" spans="1:26" ht="12.75">
      <c r="A23" s="436"/>
      <c r="B23" s="357"/>
      <c r="C23" s="357"/>
      <c r="D23" s="357"/>
      <c r="E23" s="357"/>
      <c r="F23" s="357"/>
      <c r="G23" s="357"/>
      <c r="H23" s="357"/>
      <c r="I23" s="357"/>
      <c r="J23" s="357"/>
      <c r="K23" s="357"/>
      <c r="L23" s="357"/>
      <c r="M23" s="357"/>
      <c r="N23" s="357"/>
      <c r="O23" s="357"/>
      <c r="P23" s="357"/>
      <c r="Q23" s="357"/>
      <c r="R23" s="357"/>
      <c r="S23" s="357"/>
      <c r="T23" s="357"/>
      <c r="U23" s="357"/>
      <c r="V23" s="357"/>
      <c r="W23" s="359"/>
      <c r="X23" s="436"/>
      <c r="Y23" s="358"/>
      <c r="Z23" s="360"/>
    </row>
    <row r="24" spans="1:31" ht="12.75">
      <c r="A24" s="436" t="s">
        <v>567</v>
      </c>
      <c r="B24" s="357">
        <v>0</v>
      </c>
      <c r="C24" s="357">
        <v>0</v>
      </c>
      <c r="D24" s="357">
        <v>0</v>
      </c>
      <c r="E24" s="357">
        <v>0</v>
      </c>
      <c r="F24" s="357">
        <v>0</v>
      </c>
      <c r="G24" s="357">
        <v>0</v>
      </c>
      <c r="H24" s="357">
        <v>0</v>
      </c>
      <c r="I24" s="357">
        <v>0</v>
      </c>
      <c r="J24" s="357"/>
      <c r="K24" s="357">
        <v>0</v>
      </c>
      <c r="L24" s="357"/>
      <c r="M24" s="357">
        <v>0</v>
      </c>
      <c r="N24" s="357">
        <v>0</v>
      </c>
      <c r="O24" s="737">
        <v>0</v>
      </c>
      <c r="P24" s="357">
        <v>0</v>
      </c>
      <c r="Q24" s="357">
        <v>0</v>
      </c>
      <c r="R24" s="357">
        <v>0</v>
      </c>
      <c r="S24" s="357">
        <v>0</v>
      </c>
      <c r="T24" s="357"/>
      <c r="U24" s="357">
        <v>0</v>
      </c>
      <c r="V24" s="357">
        <v>0</v>
      </c>
      <c r="W24" s="359">
        <f>SUM(B24:V24)</f>
        <v>0</v>
      </c>
      <c r="X24" s="436"/>
      <c r="Y24" s="358"/>
      <c r="Z24" s="360">
        <f>+Y24+W24</f>
        <v>0</v>
      </c>
      <c r="AD24" s="366">
        <v>0</v>
      </c>
      <c r="AE24" s="362">
        <f t="shared" si="0"/>
        <v>0</v>
      </c>
    </row>
    <row r="25" spans="1:26" ht="12.75">
      <c r="A25" s="436"/>
      <c r="B25" s="357"/>
      <c r="C25" s="357"/>
      <c r="D25" s="357"/>
      <c r="E25" s="357"/>
      <c r="F25" s="357"/>
      <c r="G25" s="357"/>
      <c r="H25" s="357"/>
      <c r="I25" s="357"/>
      <c r="J25" s="357"/>
      <c r="K25" s="357"/>
      <c r="L25" s="357"/>
      <c r="M25" s="357"/>
      <c r="N25" s="357"/>
      <c r="O25" s="357"/>
      <c r="P25" s="357"/>
      <c r="Q25" s="357"/>
      <c r="R25" s="357"/>
      <c r="S25" s="357"/>
      <c r="T25" s="357"/>
      <c r="U25" s="357"/>
      <c r="V25" s="357"/>
      <c r="W25" s="359"/>
      <c r="X25" s="436"/>
      <c r="Y25" s="358"/>
      <c r="Z25" s="360"/>
    </row>
    <row r="26" spans="1:31" ht="12.75">
      <c r="A26" s="436" t="s">
        <v>568</v>
      </c>
      <c r="B26" s="357">
        <v>0</v>
      </c>
      <c r="C26" s="357">
        <v>0</v>
      </c>
      <c r="D26" s="357">
        <v>0</v>
      </c>
      <c r="E26" s="357">
        <v>0</v>
      </c>
      <c r="F26" s="357">
        <v>0</v>
      </c>
      <c r="G26" s="357">
        <v>0</v>
      </c>
      <c r="H26" s="357">
        <v>0</v>
      </c>
      <c r="I26" s="357">
        <v>0</v>
      </c>
      <c r="J26" s="357"/>
      <c r="K26" s="357">
        <v>0</v>
      </c>
      <c r="L26" s="357"/>
      <c r="M26" s="357">
        <v>0</v>
      </c>
      <c r="N26" s="357">
        <v>0</v>
      </c>
      <c r="O26" s="357">
        <v>0</v>
      </c>
      <c r="P26" s="357">
        <v>0</v>
      </c>
      <c r="Q26" s="357">
        <v>0</v>
      </c>
      <c r="R26" s="357">
        <v>0</v>
      </c>
      <c r="S26" s="357">
        <v>0</v>
      </c>
      <c r="T26" s="357"/>
      <c r="U26" s="357">
        <v>0</v>
      </c>
      <c r="V26" s="357">
        <v>0</v>
      </c>
      <c r="W26" s="359">
        <f>SUM(B26:V26)</f>
        <v>0</v>
      </c>
      <c r="X26" s="436" t="s">
        <v>569</v>
      </c>
      <c r="Y26" s="358">
        <f>+je!F233/1000</f>
        <v>0</v>
      </c>
      <c r="Z26" s="360">
        <f>Y26</f>
        <v>0</v>
      </c>
      <c r="AD26" s="366">
        <v>0</v>
      </c>
      <c r="AE26" s="362">
        <f t="shared" si="0"/>
        <v>0</v>
      </c>
    </row>
    <row r="27" spans="1:26" ht="12.75">
      <c r="A27" s="436"/>
      <c r="B27" s="357"/>
      <c r="C27" s="357"/>
      <c r="D27" s="357"/>
      <c r="E27" s="357"/>
      <c r="F27" s="357"/>
      <c r="G27" s="357"/>
      <c r="H27" s="357"/>
      <c r="I27" s="357"/>
      <c r="J27" s="357"/>
      <c r="K27" s="357"/>
      <c r="L27" s="357"/>
      <c r="M27" s="357"/>
      <c r="N27" s="357"/>
      <c r="O27" s="357"/>
      <c r="P27" s="357"/>
      <c r="Q27" s="357"/>
      <c r="R27" s="357"/>
      <c r="S27" s="357"/>
      <c r="T27" s="357"/>
      <c r="U27" s="357"/>
      <c r="V27" s="357"/>
      <c r="W27" s="359"/>
      <c r="X27" s="436"/>
      <c r="Y27" s="358"/>
      <c r="Z27" s="360"/>
    </row>
    <row r="28" spans="1:26" ht="12.75">
      <c r="A28" s="436" t="s">
        <v>570</v>
      </c>
      <c r="B28" s="357"/>
      <c r="C28" s="357"/>
      <c r="D28" s="357"/>
      <c r="E28" s="357"/>
      <c r="F28" s="357"/>
      <c r="G28" s="357"/>
      <c r="H28" s="357"/>
      <c r="I28" s="357"/>
      <c r="J28" s="357"/>
      <c r="K28" s="357"/>
      <c r="L28" s="357"/>
      <c r="M28" s="357"/>
      <c r="N28" s="357"/>
      <c r="O28" s="357"/>
      <c r="P28" s="357"/>
      <c r="Q28" s="357"/>
      <c r="R28" s="357"/>
      <c r="S28" s="357"/>
      <c r="T28" s="357"/>
      <c r="U28" s="357"/>
      <c r="V28" s="357"/>
      <c r="W28" s="359"/>
      <c r="X28" s="436"/>
      <c r="Y28" s="358"/>
      <c r="Z28" s="360"/>
    </row>
    <row r="29" spans="1:31" ht="12.75">
      <c r="A29" s="436" t="s">
        <v>1151</v>
      </c>
      <c r="B29" s="357">
        <f>+'bs'!D58/1000</f>
        <v>0</v>
      </c>
      <c r="C29" s="357">
        <f>+'bs'!E58/1000+'P&amp;L'!D67</f>
        <v>0</v>
      </c>
      <c r="D29" s="357">
        <f>+'bs'!F58/1000</f>
        <v>0</v>
      </c>
      <c r="E29" s="357">
        <f>+'bs'!G58/1000</f>
        <v>0</v>
      </c>
      <c r="F29" s="357">
        <v>0</v>
      </c>
      <c r="G29" s="357">
        <v>0</v>
      </c>
      <c r="H29" s="357">
        <f>+'bs'!L58/1000</f>
        <v>0</v>
      </c>
      <c r="I29" s="357">
        <v>0</v>
      </c>
      <c r="J29" s="357"/>
      <c r="K29" s="357">
        <v>0</v>
      </c>
      <c r="L29" s="357"/>
      <c r="M29" s="357">
        <f>+'bs'!N58/1000</f>
        <v>24930.715</v>
      </c>
      <c r="N29" s="357">
        <f>+'bs'!O58/1000</f>
        <v>1930.444</v>
      </c>
      <c r="O29" s="357">
        <v>0</v>
      </c>
      <c r="P29" s="357">
        <v>0</v>
      </c>
      <c r="Q29" s="357">
        <v>0</v>
      </c>
      <c r="R29" s="357">
        <v>0</v>
      </c>
      <c r="S29" s="357">
        <v>0</v>
      </c>
      <c r="T29" s="357"/>
      <c r="U29" s="357">
        <v>0</v>
      </c>
      <c r="V29" s="357">
        <v>0</v>
      </c>
      <c r="W29" s="359">
        <f aca="true" t="shared" si="1" ref="W29:W40">SUM(B29:V29)</f>
        <v>26861.159</v>
      </c>
      <c r="X29" s="436" t="str">
        <f>+je!A94</f>
        <v>CJE 12</v>
      </c>
      <c r="Y29" s="358">
        <f>-je!O94/1000</f>
        <v>0</v>
      </c>
      <c r="Z29" s="360">
        <f>+Y29+W29</f>
        <v>26861.159</v>
      </c>
      <c r="AD29" s="366">
        <v>33853.341</v>
      </c>
      <c r="AE29" s="362">
        <f t="shared" si="0"/>
        <v>-6992.182000000001</v>
      </c>
    </row>
    <row r="30" spans="1:31" ht="12.75">
      <c r="A30" s="436" t="s">
        <v>1152</v>
      </c>
      <c r="B30" s="357">
        <f>+'bs'!D57/1000</f>
        <v>0</v>
      </c>
      <c r="C30" s="360">
        <f>+'bs'!E57/1000</f>
        <v>580.87</v>
      </c>
      <c r="D30" s="357">
        <f>+'bs'!F57/1000</f>
        <v>0</v>
      </c>
      <c r="E30" s="357">
        <f>+'bs'!G57/1000</f>
        <v>0</v>
      </c>
      <c r="F30" s="357">
        <f>1931792-1931792</f>
        <v>0</v>
      </c>
      <c r="G30" s="357">
        <v>0</v>
      </c>
      <c r="H30" s="357">
        <f>+'bs'!L57/1000</f>
        <v>46.04</v>
      </c>
      <c r="I30" s="357">
        <v>0</v>
      </c>
      <c r="J30" s="357"/>
      <c r="K30" s="357">
        <f>'bs'!Q57/1000</f>
        <v>0</v>
      </c>
      <c r="L30" s="357"/>
      <c r="M30" s="357">
        <f>+'bs'!N57/1000</f>
        <v>29157.837</v>
      </c>
      <c r="N30" s="357">
        <f>+'bs'!O57/1000</f>
        <v>1094.678</v>
      </c>
      <c r="O30" s="357">
        <v>0</v>
      </c>
      <c r="P30" s="357">
        <v>0</v>
      </c>
      <c r="Q30" s="357">
        <v>0</v>
      </c>
      <c r="R30" s="357">
        <v>0</v>
      </c>
      <c r="S30" s="357">
        <v>0</v>
      </c>
      <c r="T30" s="357"/>
      <c r="U30" s="357">
        <v>0</v>
      </c>
      <c r="V30" s="357">
        <v>0</v>
      </c>
      <c r="W30" s="359">
        <f t="shared" si="1"/>
        <v>30879.425</v>
      </c>
      <c r="X30" s="436"/>
      <c r="Y30" s="358"/>
      <c r="Z30" s="360">
        <f>+Y30+W30</f>
        <v>30879.425</v>
      </c>
      <c r="AD30" s="366">
        <v>36388.489</v>
      </c>
      <c r="AE30" s="362">
        <f t="shared" si="0"/>
        <v>-5509.064000000002</v>
      </c>
    </row>
    <row r="31" spans="1:31" ht="12.75">
      <c r="A31" s="436" t="s">
        <v>1335</v>
      </c>
      <c r="B31" s="357">
        <v>0</v>
      </c>
      <c r="C31" s="357">
        <v>0</v>
      </c>
      <c r="D31" s="357">
        <v>0</v>
      </c>
      <c r="E31" s="357">
        <v>0</v>
      </c>
      <c r="F31" s="360">
        <v>0</v>
      </c>
      <c r="G31" s="360">
        <v>0</v>
      </c>
      <c r="H31" s="357">
        <v>0</v>
      </c>
      <c r="I31" s="357">
        <v>0</v>
      </c>
      <c r="J31" s="357"/>
      <c r="K31" s="357">
        <v>0</v>
      </c>
      <c r="L31" s="357"/>
      <c r="M31" s="357">
        <v>0</v>
      </c>
      <c r="N31" s="357">
        <v>0</v>
      </c>
      <c r="O31" s="357">
        <v>0</v>
      </c>
      <c r="P31" s="357">
        <v>0</v>
      </c>
      <c r="Q31" s="357">
        <f>49890-49890</f>
        <v>0</v>
      </c>
      <c r="R31" s="357">
        <v>0</v>
      </c>
      <c r="S31" s="360">
        <v>0</v>
      </c>
      <c r="T31" s="357"/>
      <c r="U31" s="357">
        <v>0</v>
      </c>
      <c r="V31" s="357">
        <v>0</v>
      </c>
      <c r="W31" s="359">
        <f t="shared" si="1"/>
        <v>0</v>
      </c>
      <c r="X31" s="436"/>
      <c r="Y31" s="358"/>
      <c r="Z31" s="360">
        <f>+W31+Y31</f>
        <v>0</v>
      </c>
      <c r="AD31" s="366">
        <v>0</v>
      </c>
      <c r="AE31" s="362">
        <f t="shared" si="0"/>
        <v>0</v>
      </c>
    </row>
    <row r="32" spans="1:31" ht="12.75">
      <c r="A32" s="436" t="s">
        <v>1153</v>
      </c>
      <c r="B32" s="357">
        <f>+'bs'!D61/1000</f>
        <v>3.09</v>
      </c>
      <c r="C32" s="360">
        <f>+'bs'!E61/1000</f>
        <v>33.413</v>
      </c>
      <c r="D32" s="357">
        <f>+'bs'!F61/1000</f>
        <v>19.084</v>
      </c>
      <c r="E32" s="357">
        <f>+'bs'!G61/1000</f>
        <v>6.058</v>
      </c>
      <c r="F32" s="360">
        <f>11.95-4.95+73.909</f>
        <v>80.909</v>
      </c>
      <c r="G32" s="360">
        <f>4200/1000</f>
        <v>4.2</v>
      </c>
      <c r="H32" s="357">
        <f>+'bs'!L61/1000</f>
        <v>31.375</v>
      </c>
      <c r="I32" s="357">
        <v>0</v>
      </c>
      <c r="J32" s="357"/>
      <c r="K32" s="357">
        <f>+'bs'!Q61/1000</f>
        <v>96.832</v>
      </c>
      <c r="L32" s="357"/>
      <c r="M32" s="357">
        <f>+'bs'!N61/1000</f>
        <v>3950.156</v>
      </c>
      <c r="N32" s="357">
        <f>+'bs'!O61/1000</f>
        <v>386.329</v>
      </c>
      <c r="O32" s="357">
        <v>0</v>
      </c>
      <c r="P32" s="357">
        <v>0</v>
      </c>
      <c r="Q32" s="357">
        <v>0</v>
      </c>
      <c r="R32" s="357">
        <v>0</v>
      </c>
      <c r="S32" s="360">
        <v>24.102</v>
      </c>
      <c r="T32" s="357"/>
      <c r="U32" s="357">
        <v>0</v>
      </c>
      <c r="V32" s="357">
        <v>0</v>
      </c>
      <c r="W32" s="359">
        <f t="shared" si="1"/>
        <v>4635.548</v>
      </c>
      <c r="X32" s="436" t="s">
        <v>411</v>
      </c>
      <c r="Y32" s="358">
        <f>je!M73/1000</f>
        <v>98.86268999999761</v>
      </c>
      <c r="Z32" s="360">
        <f aca="true" t="shared" si="2" ref="Z32:Z40">+Y32+W32</f>
        <v>4734.410689999997</v>
      </c>
      <c r="AD32" s="366">
        <v>7057.94</v>
      </c>
      <c r="AE32" s="362">
        <f t="shared" si="0"/>
        <v>-2323.5293100000026</v>
      </c>
    </row>
    <row r="33" spans="1:31" ht="12.75">
      <c r="A33" s="436" t="s">
        <v>571</v>
      </c>
      <c r="B33" s="357">
        <v>0</v>
      </c>
      <c r="C33" s="360">
        <f>'bs'!E67/1000</f>
        <v>0</v>
      </c>
      <c r="D33" s="357">
        <f>'bs'!F67/1000</f>
        <v>1.991</v>
      </c>
      <c r="E33" s="357">
        <v>0</v>
      </c>
      <c r="F33" s="357">
        <v>0</v>
      </c>
      <c r="G33" s="357">
        <v>0</v>
      </c>
      <c r="H33" s="357">
        <v>0</v>
      </c>
      <c r="I33" s="360">
        <f>34.453+35.757+2.471</f>
        <v>72.68100000000001</v>
      </c>
      <c r="J33" s="357"/>
      <c r="K33" s="357">
        <v>0</v>
      </c>
      <c r="L33" s="357"/>
      <c r="M33" s="357">
        <f>'bs'!N67/1000</f>
        <v>1088.873</v>
      </c>
      <c r="N33" s="357">
        <f>'bs'!O67/1000</f>
        <v>262.803</v>
      </c>
      <c r="O33" s="357">
        <v>0</v>
      </c>
      <c r="P33" s="357">
        <v>0</v>
      </c>
      <c r="Q33" s="357">
        <v>0</v>
      </c>
      <c r="R33" s="357">
        <v>0</v>
      </c>
      <c r="S33" s="357">
        <v>0</v>
      </c>
      <c r="T33" s="357"/>
      <c r="U33" s="357">
        <v>0</v>
      </c>
      <c r="V33" s="357">
        <v>0</v>
      </c>
      <c r="W33" s="359">
        <f t="shared" si="1"/>
        <v>1426.348</v>
      </c>
      <c r="X33" s="436"/>
      <c r="Y33" s="358"/>
      <c r="Z33" s="360">
        <f t="shared" si="2"/>
        <v>1426.348</v>
      </c>
      <c r="AD33" s="366">
        <v>78.938</v>
      </c>
      <c r="AE33" s="362">
        <f t="shared" si="0"/>
        <v>1347.4099999999999</v>
      </c>
    </row>
    <row r="34" spans="1:31" ht="12.75">
      <c r="A34" s="436" t="s">
        <v>598</v>
      </c>
      <c r="B34" s="357">
        <v>0</v>
      </c>
      <c r="C34" s="357">
        <v>0</v>
      </c>
      <c r="D34" s="357">
        <v>0</v>
      </c>
      <c r="E34" s="357">
        <v>0</v>
      </c>
      <c r="F34" s="357">
        <v>0</v>
      </c>
      <c r="G34" s="357">
        <v>0</v>
      </c>
      <c r="H34" s="357">
        <v>0</v>
      </c>
      <c r="I34" s="357">
        <v>0</v>
      </c>
      <c r="J34" s="357"/>
      <c r="K34" s="357">
        <v>0</v>
      </c>
      <c r="L34" s="357"/>
      <c r="M34" s="362">
        <v>0</v>
      </c>
      <c r="N34" s="357">
        <f>-'bs'!O32/1000</f>
        <v>4727.979</v>
      </c>
      <c r="O34" s="357">
        <f>75262/1000</f>
        <v>75.262</v>
      </c>
      <c r="P34" s="357">
        <v>0</v>
      </c>
      <c r="Q34" s="357">
        <v>0</v>
      </c>
      <c r="R34" s="357">
        <v>0</v>
      </c>
      <c r="S34" s="357">
        <v>0</v>
      </c>
      <c r="T34" s="357"/>
      <c r="U34" s="357">
        <v>0</v>
      </c>
      <c r="V34" s="357">
        <v>0</v>
      </c>
      <c r="W34" s="736">
        <f t="shared" si="1"/>
        <v>4803.241</v>
      </c>
      <c r="X34" s="436" t="str">
        <f>+je!A81</f>
        <v>CJE 10</v>
      </c>
      <c r="Y34" s="358">
        <f>je!M83/1000</f>
        <v>-4803.241</v>
      </c>
      <c r="Z34" s="360">
        <f t="shared" si="2"/>
        <v>0</v>
      </c>
      <c r="AD34" s="366">
        <v>7.999999979801942E-05</v>
      </c>
      <c r="AE34" s="362">
        <f t="shared" si="0"/>
        <v>-7.999999979801942E-05</v>
      </c>
    </row>
    <row r="35" spans="1:31" ht="12.75">
      <c r="A35" s="436" t="s">
        <v>599</v>
      </c>
      <c r="B35" s="357">
        <v>0</v>
      </c>
      <c r="C35" s="357">
        <v>0</v>
      </c>
      <c r="D35" s="357">
        <v>0</v>
      </c>
      <c r="E35" s="357">
        <v>0</v>
      </c>
      <c r="F35" s="357">
        <v>0</v>
      </c>
      <c r="G35" s="357">
        <v>0</v>
      </c>
      <c r="H35" s="357">
        <v>0</v>
      </c>
      <c r="I35" s="357">
        <v>0</v>
      </c>
      <c r="J35" s="357"/>
      <c r="K35" s="357">
        <v>0</v>
      </c>
      <c r="L35" s="357"/>
      <c r="M35" s="357">
        <f>-'bs'!N20/1000-'bs'!N25/1000</f>
        <v>11606.005</v>
      </c>
      <c r="N35" s="357">
        <v>0</v>
      </c>
      <c r="O35" s="357">
        <v>0</v>
      </c>
      <c r="P35" s="357">
        <v>0</v>
      </c>
      <c r="Q35" s="357">
        <v>0</v>
      </c>
      <c r="R35" s="357">
        <v>0</v>
      </c>
      <c r="S35" s="357">
        <v>0</v>
      </c>
      <c r="T35" s="357"/>
      <c r="U35" s="357">
        <v>0</v>
      </c>
      <c r="V35" s="357">
        <v>0</v>
      </c>
      <c r="W35" s="894">
        <f t="shared" si="1"/>
        <v>11606.005</v>
      </c>
      <c r="X35" s="436" t="str">
        <f>+je!A72</f>
        <v>CJE 8</v>
      </c>
      <c r="Y35" s="358">
        <f>+je!M74/1000</f>
        <v>-11606.005</v>
      </c>
      <c r="Z35" s="360">
        <f t="shared" si="2"/>
        <v>0</v>
      </c>
      <c r="AD35" s="366">
        <v>0</v>
      </c>
      <c r="AE35" s="362">
        <f t="shared" si="0"/>
        <v>0</v>
      </c>
    </row>
    <row r="36" spans="1:31" ht="12.75">
      <c r="A36" s="436" t="s">
        <v>1636</v>
      </c>
      <c r="B36" s="357">
        <v>0</v>
      </c>
      <c r="C36" s="357">
        <v>0</v>
      </c>
      <c r="D36" s="357">
        <v>0</v>
      </c>
      <c r="E36" s="357">
        <v>0</v>
      </c>
      <c r="F36" s="357">
        <v>0</v>
      </c>
      <c r="G36" s="357">
        <v>0</v>
      </c>
      <c r="H36" s="357">
        <v>0</v>
      </c>
      <c r="I36" s="357">
        <v>0</v>
      </c>
      <c r="J36" s="357"/>
      <c r="K36" s="357">
        <v>0</v>
      </c>
      <c r="L36" s="357"/>
      <c r="M36" s="357">
        <v>0</v>
      </c>
      <c r="N36" s="357">
        <v>0</v>
      </c>
      <c r="O36" s="357">
        <v>0</v>
      </c>
      <c r="P36" s="357">
        <v>0</v>
      </c>
      <c r="Q36" s="357">
        <v>0</v>
      </c>
      <c r="R36" s="357">
        <v>0</v>
      </c>
      <c r="S36" s="357">
        <v>0</v>
      </c>
      <c r="T36" s="357"/>
      <c r="U36" s="357">
        <v>0</v>
      </c>
      <c r="V36" s="357">
        <v>0</v>
      </c>
      <c r="W36" s="359">
        <f t="shared" si="1"/>
        <v>0</v>
      </c>
      <c r="X36" s="436"/>
      <c r="Y36" s="358"/>
      <c r="Z36" s="360">
        <f t="shared" si="2"/>
        <v>0</v>
      </c>
      <c r="AD36" s="366">
        <v>0</v>
      </c>
      <c r="AE36" s="362">
        <f t="shared" si="0"/>
        <v>0</v>
      </c>
    </row>
    <row r="37" spans="1:31" ht="12.75">
      <c r="A37" s="436" t="s">
        <v>288</v>
      </c>
      <c r="B37" s="357">
        <f>-('bs'!D31+'bs'!D32)/1000</f>
        <v>0</v>
      </c>
      <c r="C37" s="360">
        <f>-('bs'!E32+'bs'!E34+'bs'!E37)/1000</f>
        <v>0</v>
      </c>
      <c r="D37" s="357"/>
      <c r="E37" s="357">
        <f>-('bs'!G26+'bs'!G32)/1000</f>
        <v>0</v>
      </c>
      <c r="F37" s="357">
        <v>0</v>
      </c>
      <c r="G37" s="360">
        <f>(2213213-2210118)/1000</f>
        <v>3.095</v>
      </c>
      <c r="H37" s="357">
        <f>'bs'!L62/1000</f>
        <v>420.243</v>
      </c>
      <c r="I37" s="357">
        <v>1448.804</v>
      </c>
      <c r="J37" s="357"/>
      <c r="K37" s="357"/>
      <c r="L37" s="357"/>
      <c r="M37" s="357">
        <f>-('bs'!N30+'bs'!N35)/1000</f>
        <v>0.9</v>
      </c>
      <c r="N37" s="357">
        <f>-'bs'!O26/1000</f>
        <v>0</v>
      </c>
      <c r="O37" s="357">
        <v>0</v>
      </c>
      <c r="P37" s="357">
        <v>8</v>
      </c>
      <c r="Q37" s="357">
        <v>500.012</v>
      </c>
      <c r="R37" s="357">
        <v>0</v>
      </c>
      <c r="S37" s="357">
        <v>0</v>
      </c>
      <c r="T37" s="357"/>
      <c r="U37" s="357">
        <v>0</v>
      </c>
      <c r="V37" s="357">
        <v>0</v>
      </c>
      <c r="W37" s="894">
        <f>SUM(B37:V37)</f>
        <v>2381.054</v>
      </c>
      <c r="X37" s="436" t="str">
        <f>+je!A77</f>
        <v>CJE 9</v>
      </c>
      <c r="Y37" s="358">
        <f>je!M79/1000</f>
        <v>-2381.054</v>
      </c>
      <c r="Z37" s="360">
        <f t="shared" si="2"/>
        <v>0</v>
      </c>
      <c r="AD37" s="366">
        <v>0</v>
      </c>
      <c r="AE37" s="362">
        <f t="shared" si="0"/>
        <v>0</v>
      </c>
    </row>
    <row r="38" spans="1:31" ht="12.75">
      <c r="A38" s="436" t="s">
        <v>955</v>
      </c>
      <c r="B38" s="357">
        <v>0</v>
      </c>
      <c r="C38" s="357">
        <v>0</v>
      </c>
      <c r="D38" s="357">
        <v>0</v>
      </c>
      <c r="E38" s="357">
        <v>0</v>
      </c>
      <c r="F38" s="357">
        <v>0</v>
      </c>
      <c r="G38" s="357">
        <v>0</v>
      </c>
      <c r="H38" s="357">
        <v>0</v>
      </c>
      <c r="I38" s="357">
        <v>0</v>
      </c>
      <c r="J38" s="357"/>
      <c r="K38" s="357">
        <v>0</v>
      </c>
      <c r="L38" s="357"/>
      <c r="M38" s="357">
        <v>0</v>
      </c>
      <c r="N38" s="357">
        <v>0</v>
      </c>
      <c r="O38" s="357">
        <v>0</v>
      </c>
      <c r="P38" s="357">
        <v>0</v>
      </c>
      <c r="Q38" s="357">
        <v>0</v>
      </c>
      <c r="R38" s="357">
        <v>0</v>
      </c>
      <c r="S38" s="357">
        <v>0</v>
      </c>
      <c r="T38" s="357"/>
      <c r="U38" s="357">
        <v>0</v>
      </c>
      <c r="V38" s="357">
        <v>0</v>
      </c>
      <c r="W38" s="359">
        <f>SUM(B38:V38)</f>
        <v>0</v>
      </c>
      <c r="X38" s="436" t="s">
        <v>1123</v>
      </c>
      <c r="Y38" s="358">
        <f>je!M145/1000</f>
        <v>0</v>
      </c>
      <c r="Z38" s="360">
        <f t="shared" si="2"/>
        <v>0</v>
      </c>
      <c r="AD38" s="366">
        <v>0</v>
      </c>
      <c r="AE38" s="362">
        <f t="shared" si="0"/>
        <v>0</v>
      </c>
    </row>
    <row r="39" spans="1:31" ht="12.75">
      <c r="A39" s="436" t="s">
        <v>600</v>
      </c>
      <c r="B39" s="357">
        <f>+'bs'!D55/1000</f>
        <v>0</v>
      </c>
      <c r="C39" s="360">
        <f>+'bs'!E55/1000</f>
        <v>33.098</v>
      </c>
      <c r="D39" s="357">
        <f>+'bs'!F55/1000</f>
        <v>0</v>
      </c>
      <c r="E39" s="357">
        <f>+'bs'!G55/1000</f>
        <v>0</v>
      </c>
      <c r="F39" s="357">
        <v>0</v>
      </c>
      <c r="G39" s="360">
        <v>23.415</v>
      </c>
      <c r="H39" s="357">
        <f>+'bs'!L55/1000</f>
        <v>56.001</v>
      </c>
      <c r="I39" s="357">
        <v>0</v>
      </c>
      <c r="J39" s="357"/>
      <c r="K39" s="357">
        <f>+'bs'!Q55/1000</f>
        <v>1328.201</v>
      </c>
      <c r="L39" s="357"/>
      <c r="M39" s="357">
        <f>+'bs'!N55/1000</f>
        <v>34558.508</v>
      </c>
      <c r="N39" s="357">
        <f>+'bs'!O55/1000</f>
        <v>500</v>
      </c>
      <c r="O39" s="357">
        <v>0</v>
      </c>
      <c r="P39" s="357">
        <v>16.336</v>
      </c>
      <c r="Q39" s="357">
        <v>0</v>
      </c>
      <c r="R39" s="357">
        <v>0</v>
      </c>
      <c r="S39" s="357">
        <v>0</v>
      </c>
      <c r="T39" s="357"/>
      <c r="U39" s="357">
        <v>0</v>
      </c>
      <c r="V39" s="357">
        <v>0</v>
      </c>
      <c r="W39" s="359">
        <f t="shared" si="1"/>
        <v>36515.559</v>
      </c>
      <c r="X39" s="436"/>
      <c r="Y39" s="358"/>
      <c r="Z39" s="360">
        <f t="shared" si="2"/>
        <v>36515.559</v>
      </c>
      <c r="AD39" s="366">
        <v>22253.458</v>
      </c>
      <c r="AE39" s="362">
        <f t="shared" si="0"/>
        <v>14262.101000000002</v>
      </c>
    </row>
    <row r="40" spans="1:31" ht="12.75">
      <c r="A40" s="436" t="s">
        <v>601</v>
      </c>
      <c r="B40" s="357">
        <f>+'bs'!D54/1000</f>
        <v>14.195</v>
      </c>
      <c r="C40" s="360">
        <f>+'bs'!E54/1000</f>
        <v>214.476</v>
      </c>
      <c r="D40" s="357">
        <f>+'bs'!F54/1000</f>
        <v>13.699</v>
      </c>
      <c r="E40" s="357">
        <f>+'bs'!G54/1000</f>
        <v>24.35</v>
      </c>
      <c r="F40" s="360">
        <v>3.221</v>
      </c>
      <c r="G40" s="360">
        <v>1.542</v>
      </c>
      <c r="H40" s="357">
        <f>+'bs'!L54/1000</f>
        <v>8.039</v>
      </c>
      <c r="I40" s="360">
        <v>0.002</v>
      </c>
      <c r="J40" s="357"/>
      <c r="K40" s="357">
        <f>+'bs'!Q54/1000</f>
        <v>6.646</v>
      </c>
      <c r="L40" s="357"/>
      <c r="M40" s="357">
        <f>+'bs'!N54/1000</f>
        <v>7610.473</v>
      </c>
      <c r="N40" s="357">
        <f>+'bs'!O54/1000</f>
        <v>1630.98</v>
      </c>
      <c r="O40" s="357">
        <v>0</v>
      </c>
      <c r="P40" s="357">
        <v>4.675</v>
      </c>
      <c r="Q40" s="360">
        <v>0.197</v>
      </c>
      <c r="R40" s="360">
        <v>0.002</v>
      </c>
      <c r="S40" s="360">
        <v>1.439</v>
      </c>
      <c r="T40" s="357">
        <v>0</v>
      </c>
      <c r="U40" s="357">
        <v>0</v>
      </c>
      <c r="V40" s="357">
        <v>0.002</v>
      </c>
      <c r="W40" s="359">
        <f t="shared" si="1"/>
        <v>9533.938</v>
      </c>
      <c r="X40" s="436"/>
      <c r="Y40" s="358"/>
      <c r="Z40" s="360">
        <f t="shared" si="2"/>
        <v>9533.938</v>
      </c>
      <c r="AD40" s="366">
        <v>11158.753</v>
      </c>
      <c r="AE40" s="362">
        <f t="shared" si="0"/>
        <v>-1624.8150000000005</v>
      </c>
    </row>
    <row r="41" spans="1:26" ht="12.75">
      <c r="A41" s="436"/>
      <c r="B41" s="357"/>
      <c r="C41" s="357"/>
      <c r="D41" s="357"/>
      <c r="E41" s="357"/>
      <c r="F41" s="357"/>
      <c r="G41" s="357"/>
      <c r="H41" s="357"/>
      <c r="I41" s="357"/>
      <c r="J41" s="357"/>
      <c r="K41" s="357"/>
      <c r="L41" s="357"/>
      <c r="M41" s="357"/>
      <c r="N41" s="357"/>
      <c r="O41" s="357"/>
      <c r="P41" s="357"/>
      <c r="Q41" s="357"/>
      <c r="R41" s="357"/>
      <c r="S41" s="357"/>
      <c r="T41" s="357"/>
      <c r="U41" s="357"/>
      <c r="V41" s="357"/>
      <c r="W41" s="359"/>
      <c r="X41" s="436"/>
      <c r="Y41" s="358"/>
      <c r="Z41" s="360"/>
    </row>
    <row r="42" spans="1:31" ht="13.5" thickBot="1">
      <c r="A42" s="436"/>
      <c r="B42" s="746">
        <f aca="true" t="shared" si="3" ref="B42:I42">SUM(B29:B41)</f>
        <v>17.285</v>
      </c>
      <c r="C42" s="746">
        <f>SUM(C29:C41)</f>
        <v>861.857</v>
      </c>
      <c r="D42" s="746">
        <f>SUM(D29:D41)</f>
        <v>34.774</v>
      </c>
      <c r="E42" s="746">
        <f>SUM(E29:E41)</f>
        <v>30.408</v>
      </c>
      <c r="F42" s="746">
        <f t="shared" si="3"/>
        <v>84.13000000000001</v>
      </c>
      <c r="G42" s="746">
        <f t="shared" si="3"/>
        <v>32.252</v>
      </c>
      <c r="H42" s="746">
        <f>SUM(H29:H41)</f>
        <v>561.698</v>
      </c>
      <c r="I42" s="746">
        <f t="shared" si="3"/>
        <v>1521.487</v>
      </c>
      <c r="J42" s="746"/>
      <c r="K42" s="746">
        <f>SUM(K29:K41)</f>
        <v>1431.6789999999999</v>
      </c>
      <c r="L42" s="746"/>
      <c r="M42" s="746">
        <f>SUM(M29:M41)</f>
        <v>112903.46699999999</v>
      </c>
      <c r="N42" s="746">
        <f aca="true" t="shared" si="4" ref="N42:V42">SUM(N29:N41)</f>
        <v>10533.213</v>
      </c>
      <c r="O42" s="746">
        <f t="shared" si="4"/>
        <v>75.262</v>
      </c>
      <c r="P42" s="746">
        <f t="shared" si="4"/>
        <v>29.011</v>
      </c>
      <c r="Q42" s="746">
        <f t="shared" si="4"/>
        <v>500.209</v>
      </c>
      <c r="R42" s="746">
        <f t="shared" si="4"/>
        <v>0.002</v>
      </c>
      <c r="S42" s="746">
        <f t="shared" si="4"/>
        <v>25.541</v>
      </c>
      <c r="T42" s="746">
        <f t="shared" si="4"/>
        <v>0</v>
      </c>
      <c r="U42" s="746">
        <f t="shared" si="4"/>
        <v>0</v>
      </c>
      <c r="V42" s="746">
        <f t="shared" si="4"/>
        <v>0.002</v>
      </c>
      <c r="W42" s="659">
        <f>SUM(W29:W41)</f>
        <v>128642.277</v>
      </c>
      <c r="X42" s="660"/>
      <c r="Y42" s="661">
        <f>SUM(Y29:Y41)</f>
        <v>-18691.43731</v>
      </c>
      <c r="Z42" s="662">
        <f>SUM(Z29:Z41)</f>
        <v>109950.83969</v>
      </c>
      <c r="AD42" s="536">
        <f>SUM(AD29:AD41)</f>
        <v>110790.91907999999</v>
      </c>
      <c r="AE42" s="763">
        <f t="shared" si="0"/>
        <v>-840.079389999999</v>
      </c>
    </row>
    <row r="43" spans="1:31" ht="13.5" hidden="1" thickTop="1">
      <c r="A43" s="436"/>
      <c r="B43" s="747"/>
      <c r="C43" s="747"/>
      <c r="D43" s="747"/>
      <c r="E43" s="747"/>
      <c r="F43" s="747"/>
      <c r="G43" s="747"/>
      <c r="H43" s="747"/>
      <c r="I43" s="747"/>
      <c r="J43" s="747"/>
      <c r="K43" s="747"/>
      <c r="L43" s="747"/>
      <c r="M43" s="747"/>
      <c r="N43" s="747"/>
      <c r="O43" s="747"/>
      <c r="P43" s="747"/>
      <c r="Q43" s="747"/>
      <c r="R43" s="747"/>
      <c r="S43" s="747"/>
      <c r="T43" s="747"/>
      <c r="U43" s="747"/>
      <c r="V43" s="747"/>
      <c r="W43" s="663"/>
      <c r="X43" s="664"/>
      <c r="Y43" s="665"/>
      <c r="Z43" s="564"/>
      <c r="AE43" s="362">
        <f t="shared" si="0"/>
        <v>0</v>
      </c>
    </row>
    <row r="44" spans="1:26" ht="13.5" thickTop="1">
      <c r="A44" s="436"/>
      <c r="B44" s="357"/>
      <c r="C44" s="357"/>
      <c r="D44" s="357"/>
      <c r="E44" s="357"/>
      <c r="F44" s="357"/>
      <c r="G44" s="357"/>
      <c r="H44" s="357"/>
      <c r="I44" s="357"/>
      <c r="J44" s="357"/>
      <c r="K44" s="357"/>
      <c r="L44" s="357"/>
      <c r="M44" s="357"/>
      <c r="N44" s="357"/>
      <c r="O44" s="357"/>
      <c r="P44" s="357"/>
      <c r="Q44" s="357"/>
      <c r="R44" s="357"/>
      <c r="S44" s="357"/>
      <c r="T44" s="357"/>
      <c r="U44" s="357"/>
      <c r="V44" s="357"/>
      <c r="W44" s="359"/>
      <c r="X44" s="436"/>
      <c r="Y44" s="358"/>
      <c r="Z44" s="360"/>
    </row>
    <row r="45" spans="1:26" ht="12.75">
      <c r="A45" s="436" t="s">
        <v>602</v>
      </c>
      <c r="B45" s="357"/>
      <c r="C45" s="357"/>
      <c r="D45" s="357"/>
      <c r="E45" s="357"/>
      <c r="F45" s="357"/>
      <c r="G45" s="357"/>
      <c r="H45" s="357"/>
      <c r="I45" s="357"/>
      <c r="J45" s="357"/>
      <c r="K45" s="357"/>
      <c r="L45" s="357"/>
      <c r="M45" s="357"/>
      <c r="N45" s="357"/>
      <c r="O45" s="357"/>
      <c r="P45" s="357"/>
      <c r="Q45" s="357"/>
      <c r="R45" s="357"/>
      <c r="S45" s="357"/>
      <c r="T45" s="357"/>
      <c r="U45" s="357"/>
      <c r="V45" s="357"/>
      <c r="W45" s="359"/>
      <c r="X45" s="436"/>
      <c r="Y45" s="358"/>
      <c r="Z45" s="360"/>
    </row>
    <row r="46" spans="1:31" ht="12.75">
      <c r="A46" s="436" t="s">
        <v>1149</v>
      </c>
      <c r="B46" s="357">
        <f>-'bs'!D79/1000</f>
        <v>20.008</v>
      </c>
      <c r="C46" s="357">
        <f>-'bs'!E79/1000</f>
        <v>171.867</v>
      </c>
      <c r="D46" s="357">
        <f>-'bs'!F79/1000</f>
        <v>3.993</v>
      </c>
      <c r="E46" s="357">
        <f>-'bs'!G79/1000</f>
        <v>15.263</v>
      </c>
      <c r="F46" s="357">
        <v>0</v>
      </c>
      <c r="G46" s="360">
        <v>3.641</v>
      </c>
      <c r="H46" s="357">
        <f>-'bs'!L79/1000</f>
        <v>0</v>
      </c>
      <c r="I46" s="357">
        <v>0</v>
      </c>
      <c r="J46" s="357"/>
      <c r="K46" s="357">
        <v>0</v>
      </c>
      <c r="L46" s="357"/>
      <c r="M46" s="357">
        <f>-'bs'!N79/1000</f>
        <v>10127.913</v>
      </c>
      <c r="N46" s="357">
        <f>-'bs'!O79/1000</f>
        <v>1267.816</v>
      </c>
      <c r="O46" s="357">
        <v>0</v>
      </c>
      <c r="P46" s="357">
        <v>0</v>
      </c>
      <c r="Q46" s="357">
        <v>0</v>
      </c>
      <c r="R46" s="357">
        <v>0</v>
      </c>
      <c r="S46" s="357">
        <v>0</v>
      </c>
      <c r="T46" s="357"/>
      <c r="U46" s="357">
        <v>0</v>
      </c>
      <c r="V46" s="357">
        <v>0</v>
      </c>
      <c r="W46" s="359">
        <f aca="true" t="shared" si="5" ref="W46:W58">SUM(B46:V46)</f>
        <v>11610.501000000002</v>
      </c>
      <c r="X46" s="436" t="s">
        <v>304</v>
      </c>
      <c r="Y46" s="358"/>
      <c r="Z46" s="360">
        <f>+W46+Y46</f>
        <v>11610.501000000002</v>
      </c>
      <c r="AD46" s="366">
        <v>12530.8</v>
      </c>
      <c r="AE46" s="362">
        <f t="shared" si="0"/>
        <v>-920.2989999999972</v>
      </c>
    </row>
    <row r="47" spans="1:31" ht="12.75">
      <c r="A47" s="436" t="s">
        <v>1150</v>
      </c>
      <c r="B47" s="357">
        <f>-'bs'!D76/1000</f>
        <v>16.342</v>
      </c>
      <c r="C47" s="357">
        <f>-'bs'!E76/1000-C49</f>
        <v>1834.621</v>
      </c>
      <c r="D47" s="357">
        <f>-'bs'!F76/1000</f>
        <v>4</v>
      </c>
      <c r="E47" s="357">
        <f>-'bs'!G76/1000</f>
        <v>3.726</v>
      </c>
      <c r="F47" s="360">
        <v>1.13</v>
      </c>
      <c r="G47" s="360">
        <f>+(4729)/1000</f>
        <v>4.729</v>
      </c>
      <c r="H47" s="357">
        <f>-'bs'!L76/1000</f>
        <v>14.205</v>
      </c>
      <c r="I47" s="357">
        <v>2.455</v>
      </c>
      <c r="J47" s="357"/>
      <c r="K47" s="357">
        <f>-'bs'!Q76/1000</f>
        <v>225.711</v>
      </c>
      <c r="L47" s="357"/>
      <c r="M47" s="357">
        <f>-'bs'!N76/1000</f>
        <v>7817.803</v>
      </c>
      <c r="N47" s="357">
        <f>-'bs'!O76/1000</f>
        <v>1225.359</v>
      </c>
      <c r="O47" s="357">
        <v>0.5</v>
      </c>
      <c r="P47" s="357">
        <v>1.28</v>
      </c>
      <c r="Q47" s="357">
        <v>11.937</v>
      </c>
      <c r="R47" s="360">
        <f>1+0.075</f>
        <v>1.075</v>
      </c>
      <c r="S47" s="360">
        <v>3.51</v>
      </c>
      <c r="T47" s="357"/>
      <c r="U47" s="357">
        <v>0</v>
      </c>
      <c r="V47" s="357">
        <v>0.675</v>
      </c>
      <c r="W47" s="359">
        <f>SUM(B47:V48)</f>
        <v>11169.058</v>
      </c>
      <c r="X47" s="436" t="s">
        <v>845</v>
      </c>
      <c r="Y47" s="358">
        <v>-1474.575</v>
      </c>
      <c r="Z47" s="360">
        <f>+W47+Y47+Y48</f>
        <v>9694.483</v>
      </c>
      <c r="AD47" s="366">
        <v>14018.791</v>
      </c>
      <c r="AE47" s="362">
        <f t="shared" si="0"/>
        <v>-4324.307999999999</v>
      </c>
    </row>
    <row r="48" spans="1:26" ht="12.75">
      <c r="A48" s="436"/>
      <c r="B48" s="737"/>
      <c r="C48" s="357"/>
      <c r="D48" s="737"/>
      <c r="E48" s="737"/>
      <c r="F48" s="357"/>
      <c r="G48" s="737"/>
      <c r="H48" s="357"/>
      <c r="I48" s="737"/>
      <c r="J48" s="357"/>
      <c r="K48" s="357"/>
      <c r="L48" s="357"/>
      <c r="M48" s="357"/>
      <c r="N48" s="357"/>
      <c r="O48" s="357"/>
      <c r="P48" s="357"/>
      <c r="Q48" s="357"/>
      <c r="R48" s="357"/>
      <c r="S48" s="357"/>
      <c r="T48" s="357"/>
      <c r="U48" s="357"/>
      <c r="V48" s="357"/>
      <c r="W48" s="359"/>
      <c r="X48" s="436"/>
      <c r="Y48" s="358"/>
      <c r="Z48" s="360"/>
    </row>
    <row r="49" spans="1:31" ht="12.75">
      <c r="A49" s="436" t="s">
        <v>1636</v>
      </c>
      <c r="B49" s="357">
        <v>0</v>
      </c>
      <c r="C49" s="357">
        <v>0</v>
      </c>
      <c r="D49" s="357">
        <v>0</v>
      </c>
      <c r="E49" s="357">
        <v>0</v>
      </c>
      <c r="F49" s="357">
        <v>0</v>
      </c>
      <c r="G49" s="357">
        <v>0</v>
      </c>
      <c r="H49" s="357">
        <v>0</v>
      </c>
      <c r="I49" s="357">
        <v>0</v>
      </c>
      <c r="J49" s="357"/>
      <c r="K49" s="357">
        <v>0</v>
      </c>
      <c r="L49" s="357"/>
      <c r="M49" s="357">
        <v>0</v>
      </c>
      <c r="N49" s="357">
        <v>0</v>
      </c>
      <c r="O49" s="357">
        <v>0</v>
      </c>
      <c r="P49" s="357">
        <v>0</v>
      </c>
      <c r="Q49" s="357">
        <v>0</v>
      </c>
      <c r="R49" s="357">
        <v>0</v>
      </c>
      <c r="S49" s="357">
        <v>0</v>
      </c>
      <c r="T49" s="357"/>
      <c r="U49" s="357">
        <v>0</v>
      </c>
      <c r="V49" s="357">
        <v>0</v>
      </c>
      <c r="W49" s="359">
        <f t="shared" si="5"/>
        <v>0</v>
      </c>
      <c r="X49" s="436"/>
      <c r="Y49" s="358"/>
      <c r="Z49" s="360">
        <f aca="true" t="shared" si="6" ref="Z49:Z56">+Y49+W49</f>
        <v>0</v>
      </c>
      <c r="AD49" s="366">
        <v>55.197</v>
      </c>
      <c r="AE49" s="362">
        <f t="shared" si="0"/>
        <v>-55.197</v>
      </c>
    </row>
    <row r="50" spans="1:31" ht="12.75">
      <c r="A50" s="436" t="s">
        <v>207</v>
      </c>
      <c r="B50" s="357">
        <v>0</v>
      </c>
      <c r="C50" s="357">
        <v>0</v>
      </c>
      <c r="D50" s="357">
        <v>0</v>
      </c>
      <c r="E50" s="357">
        <v>0</v>
      </c>
      <c r="F50" s="357">
        <v>0</v>
      </c>
      <c r="G50" s="357">
        <v>0</v>
      </c>
      <c r="H50" s="362">
        <v>0</v>
      </c>
      <c r="I50" s="357">
        <v>0</v>
      </c>
      <c r="J50" s="357"/>
      <c r="K50" s="357">
        <v>0</v>
      </c>
      <c r="L50" s="357"/>
      <c r="M50" s="357">
        <v>0</v>
      </c>
      <c r="N50" s="357">
        <v>0</v>
      </c>
      <c r="O50" s="357">
        <v>0</v>
      </c>
      <c r="P50" s="357">
        <v>0</v>
      </c>
      <c r="Q50" s="357">
        <v>0</v>
      </c>
      <c r="R50" s="357">
        <v>0</v>
      </c>
      <c r="S50" s="357">
        <v>0</v>
      </c>
      <c r="T50" s="357"/>
      <c r="U50" s="357">
        <v>0</v>
      </c>
      <c r="V50" s="357">
        <v>0</v>
      </c>
      <c r="W50" s="359">
        <f t="shared" si="5"/>
        <v>0</v>
      </c>
      <c r="X50" s="436" t="str">
        <f>+je!A81</f>
        <v>CJE 10</v>
      </c>
      <c r="Y50" s="358">
        <f>-W50</f>
        <v>0</v>
      </c>
      <c r="Z50" s="360">
        <f t="shared" si="6"/>
        <v>0</v>
      </c>
      <c r="AD50" s="366">
        <v>0</v>
      </c>
      <c r="AE50" s="362">
        <f t="shared" si="0"/>
        <v>0</v>
      </c>
    </row>
    <row r="51" spans="1:31" ht="12.75">
      <c r="A51" s="436" t="s">
        <v>604</v>
      </c>
      <c r="B51" s="357">
        <v>0</v>
      </c>
      <c r="C51" s="357">
        <v>0</v>
      </c>
      <c r="D51" s="357">
        <v>0</v>
      </c>
      <c r="E51" s="357">
        <v>0</v>
      </c>
      <c r="F51" s="357">
        <v>0</v>
      </c>
      <c r="G51" s="357">
        <v>0</v>
      </c>
      <c r="H51" s="357">
        <v>0</v>
      </c>
      <c r="I51" s="896">
        <v>0</v>
      </c>
      <c r="J51" s="357"/>
      <c r="K51" s="357">
        <v>0</v>
      </c>
      <c r="L51" s="357"/>
      <c r="M51" s="357">
        <v>0</v>
      </c>
      <c r="N51" s="357">
        <f>+'bs'!O20/1000</f>
        <v>0</v>
      </c>
      <c r="O51" s="357">
        <v>0</v>
      </c>
      <c r="P51" s="357">
        <v>0</v>
      </c>
      <c r="Q51" s="357">
        <v>0</v>
      </c>
      <c r="R51" s="357">
        <v>0</v>
      </c>
      <c r="S51" s="357">
        <v>0</v>
      </c>
      <c r="T51" s="357"/>
      <c r="U51" s="357">
        <v>0</v>
      </c>
      <c r="V51" s="357">
        <v>0</v>
      </c>
      <c r="W51" s="894">
        <f t="shared" si="5"/>
        <v>0</v>
      </c>
      <c r="X51" s="436" t="str">
        <f>+je!A72</f>
        <v>CJE 8</v>
      </c>
      <c r="Y51" s="358">
        <f>-je!M72/1000+W86</f>
        <v>0</v>
      </c>
      <c r="Z51" s="360">
        <f t="shared" si="6"/>
        <v>0</v>
      </c>
      <c r="AD51" s="366">
        <v>1.2789769243681803E-12</v>
      </c>
      <c r="AE51" s="362">
        <f t="shared" si="0"/>
        <v>-1.2789769243681803E-12</v>
      </c>
    </row>
    <row r="52" spans="1:31" ht="12.75">
      <c r="A52" s="436" t="s">
        <v>206</v>
      </c>
      <c r="B52" s="357">
        <v>0</v>
      </c>
      <c r="C52" s="357">
        <v>0</v>
      </c>
      <c r="D52" s="357">
        <v>0</v>
      </c>
      <c r="E52" s="357">
        <v>0</v>
      </c>
      <c r="F52" s="357">
        <v>0</v>
      </c>
      <c r="G52" s="357">
        <v>0</v>
      </c>
      <c r="H52" s="362">
        <v>0</v>
      </c>
      <c r="I52" s="357">
        <v>0</v>
      </c>
      <c r="J52" s="357"/>
      <c r="K52" s="357">
        <v>0</v>
      </c>
      <c r="L52" s="357"/>
      <c r="M52" s="357">
        <v>0</v>
      </c>
      <c r="N52" s="357">
        <v>0</v>
      </c>
      <c r="O52" s="357">
        <v>0</v>
      </c>
      <c r="P52" s="357">
        <v>0</v>
      </c>
      <c r="Q52" s="357">
        <v>0</v>
      </c>
      <c r="R52" s="357">
        <v>0</v>
      </c>
      <c r="S52" s="357">
        <v>0</v>
      </c>
      <c r="T52" s="357"/>
      <c r="U52" s="357">
        <v>0</v>
      </c>
      <c r="V52" s="357">
        <v>0</v>
      </c>
      <c r="W52" s="359">
        <f t="shared" si="5"/>
        <v>0</v>
      </c>
      <c r="X52" s="436"/>
      <c r="Y52" s="358"/>
      <c r="Z52" s="360">
        <f t="shared" si="6"/>
        <v>0</v>
      </c>
      <c r="AD52" s="366">
        <v>0</v>
      </c>
      <c r="AE52" s="362">
        <f t="shared" si="0"/>
        <v>0</v>
      </c>
    </row>
    <row r="53" spans="1:31" ht="12.75">
      <c r="A53" s="436" t="s">
        <v>288</v>
      </c>
      <c r="B53" s="357">
        <f>+('bs'!D26+'bs'!D27+'bs'!D39)/1000</f>
        <v>2894.782</v>
      </c>
      <c r="C53" s="357">
        <f>+('bs'!E27+'bs'!E28+'bs'!E31+'bs'!E33+'bs'!E39+'bs'!E35+'bs'!E41)/1000</f>
        <v>-450.701</v>
      </c>
      <c r="D53" s="357">
        <f>+('bs'!F26+'bs'!F32+'bs'!F39+'bs'!F35)/1000</f>
        <v>3132.356</v>
      </c>
      <c r="E53" s="357">
        <v>0</v>
      </c>
      <c r="F53" s="357">
        <v>0</v>
      </c>
      <c r="G53" s="357">
        <v>0</v>
      </c>
      <c r="H53" s="357">
        <v>0</v>
      </c>
      <c r="I53" s="357">
        <v>2243.488</v>
      </c>
      <c r="J53" s="357"/>
      <c r="K53" s="362">
        <v>0</v>
      </c>
      <c r="L53" s="357"/>
      <c r="M53" s="357">
        <f>('bs'!N26+'bs'!N28+'bs'!N31+'bs'!N41)/1000</f>
        <v>0.738</v>
      </c>
      <c r="N53" s="357">
        <v>0</v>
      </c>
      <c r="O53" s="357">
        <v>0</v>
      </c>
      <c r="P53" s="357">
        <v>0.439</v>
      </c>
      <c r="Q53" s="357">
        <v>0</v>
      </c>
      <c r="R53" s="360">
        <f>503107/1000</f>
        <v>503.107</v>
      </c>
      <c r="S53" s="360">
        <v>313.523</v>
      </c>
      <c r="T53" s="357"/>
      <c r="U53" s="357">
        <v>0</v>
      </c>
      <c r="V53" s="357">
        <v>0</v>
      </c>
      <c r="W53" s="894">
        <f>SUM(B53:V53)</f>
        <v>8637.732</v>
      </c>
      <c r="X53" s="436" t="str">
        <f>+je!A77</f>
        <v>CJE 9</v>
      </c>
      <c r="Y53" s="358">
        <f>-je!M77/1000</f>
        <v>-8637.732</v>
      </c>
      <c r="Z53" s="360">
        <f t="shared" si="6"/>
        <v>0</v>
      </c>
      <c r="AD53" s="366">
        <v>0</v>
      </c>
      <c r="AE53" s="362">
        <f t="shared" si="0"/>
        <v>0</v>
      </c>
    </row>
    <row r="54" spans="1:31" ht="12.75">
      <c r="A54" s="436" t="s">
        <v>605</v>
      </c>
      <c r="B54" s="357">
        <f>-'bs'!D78/1000</f>
        <v>0</v>
      </c>
      <c r="C54" s="357"/>
      <c r="D54" s="357">
        <f>-'bs'!F78/1000</f>
        <v>0</v>
      </c>
      <c r="E54" s="357">
        <f>-'bs'!G78/1000</f>
        <v>0</v>
      </c>
      <c r="F54" s="357">
        <v>0</v>
      </c>
      <c r="G54" s="357">
        <v>0</v>
      </c>
      <c r="H54" s="357">
        <f>-'bs'!L78/1000</f>
        <v>0</v>
      </c>
      <c r="I54" s="357">
        <v>0</v>
      </c>
      <c r="J54" s="357"/>
      <c r="K54" s="357">
        <f>-+'bs'!Q78/1000</f>
        <v>2000</v>
      </c>
      <c r="L54" s="357"/>
      <c r="M54" s="357">
        <f>-'bs'!N78/1000</f>
        <v>0</v>
      </c>
      <c r="N54" s="357">
        <f>-'bs'!O78/1000</f>
        <v>0</v>
      </c>
      <c r="O54" s="357">
        <v>0</v>
      </c>
      <c r="P54" s="357">
        <v>0</v>
      </c>
      <c r="Q54" s="357">
        <v>0</v>
      </c>
      <c r="R54" s="357">
        <v>0</v>
      </c>
      <c r="S54" s="357"/>
      <c r="T54" s="357"/>
      <c r="U54" s="357">
        <v>0</v>
      </c>
      <c r="V54" s="357">
        <v>0</v>
      </c>
      <c r="W54" s="359">
        <f t="shared" si="5"/>
        <v>2000</v>
      </c>
      <c r="X54" s="436"/>
      <c r="Y54" s="358"/>
      <c r="Z54" s="360">
        <f t="shared" si="6"/>
        <v>2000</v>
      </c>
      <c r="AD54" s="366">
        <v>2000</v>
      </c>
      <c r="AE54" s="362">
        <f t="shared" si="0"/>
        <v>0</v>
      </c>
    </row>
    <row r="55" spans="1:31" ht="12.75">
      <c r="A55" s="436" t="s">
        <v>1129</v>
      </c>
      <c r="B55" s="357">
        <v>0</v>
      </c>
      <c r="C55" s="357">
        <f>-'bs'!E78/1000</f>
        <v>300</v>
      </c>
      <c r="D55" s="357">
        <f>-'bs'!F74/1000</f>
        <v>0</v>
      </c>
      <c r="E55" s="357">
        <v>0</v>
      </c>
      <c r="F55" s="357">
        <v>0</v>
      </c>
      <c r="G55" s="357">
        <v>0</v>
      </c>
      <c r="H55" s="357">
        <v>0</v>
      </c>
      <c r="I55" s="357">
        <v>0</v>
      </c>
      <c r="J55" s="357"/>
      <c r="K55" s="357">
        <f>840000/1000</f>
        <v>840</v>
      </c>
      <c r="L55" s="357"/>
      <c r="M55" s="357">
        <v>0</v>
      </c>
      <c r="N55" s="357">
        <v>0</v>
      </c>
      <c r="O55" s="357">
        <v>0</v>
      </c>
      <c r="P55" s="357">
        <v>0</v>
      </c>
      <c r="Q55" s="357">
        <v>0</v>
      </c>
      <c r="R55" s="357">
        <v>0</v>
      </c>
      <c r="S55" s="357"/>
      <c r="T55" s="357"/>
      <c r="U55" s="357">
        <v>0</v>
      </c>
      <c r="V55" s="357">
        <v>0</v>
      </c>
      <c r="W55" s="359">
        <f t="shared" si="5"/>
        <v>1140</v>
      </c>
      <c r="X55" s="436"/>
      <c r="Y55" s="358"/>
      <c r="Z55" s="360">
        <f t="shared" si="6"/>
        <v>1140</v>
      </c>
      <c r="AD55" s="366">
        <v>1140</v>
      </c>
      <c r="AE55" s="362">
        <f t="shared" si="0"/>
        <v>0</v>
      </c>
    </row>
    <row r="56" spans="1:31" ht="12.75">
      <c r="A56" s="436" t="s">
        <v>9</v>
      </c>
      <c r="B56" s="357">
        <v>0</v>
      </c>
      <c r="C56" s="357">
        <v>0</v>
      </c>
      <c r="D56" s="357">
        <v>0</v>
      </c>
      <c r="E56" s="357">
        <v>0</v>
      </c>
      <c r="F56" s="357">
        <v>0</v>
      </c>
      <c r="G56" s="357">
        <f>0.1/1000</f>
        <v>0.0001</v>
      </c>
      <c r="H56" s="357">
        <v>0</v>
      </c>
      <c r="I56" s="357">
        <v>0</v>
      </c>
      <c r="J56" s="357"/>
      <c r="K56" s="357">
        <v>0</v>
      </c>
      <c r="L56" s="357"/>
      <c r="M56" s="357">
        <v>0</v>
      </c>
      <c r="N56" s="357">
        <v>0</v>
      </c>
      <c r="O56" s="357">
        <v>0</v>
      </c>
      <c r="P56" s="357">
        <v>0</v>
      </c>
      <c r="Q56" s="357">
        <v>0</v>
      </c>
      <c r="R56" s="357">
        <v>0</v>
      </c>
      <c r="S56" s="357">
        <v>0</v>
      </c>
      <c r="T56" s="357"/>
      <c r="U56" s="357">
        <v>0</v>
      </c>
      <c r="V56" s="357">
        <v>0</v>
      </c>
      <c r="W56" s="359">
        <f t="shared" si="5"/>
        <v>0.0001</v>
      </c>
      <c r="X56" s="436" t="s">
        <v>1123</v>
      </c>
      <c r="Y56" s="358">
        <f>-je!M143/1000</f>
        <v>0</v>
      </c>
      <c r="Z56" s="360">
        <f t="shared" si="6"/>
        <v>0.0001</v>
      </c>
      <c r="AD56" s="366">
        <v>0</v>
      </c>
      <c r="AE56" s="362">
        <f t="shared" si="0"/>
        <v>0.0001</v>
      </c>
    </row>
    <row r="57" spans="1:31" ht="12.75">
      <c r="A57" s="436" t="s">
        <v>204</v>
      </c>
      <c r="B57" s="357">
        <v>0</v>
      </c>
      <c r="C57" s="357">
        <f>-'bs'!E77/1000</f>
        <v>33.413</v>
      </c>
      <c r="D57" s="357">
        <f>-'bs'!F77/1000</f>
        <v>0</v>
      </c>
      <c r="E57" s="357">
        <f>-'bs'!G77/1000</f>
        <v>0</v>
      </c>
      <c r="F57" s="357">
        <v>0</v>
      </c>
      <c r="G57" s="360">
        <f>+(114500-49914-36452)/1000</f>
        <v>28.134</v>
      </c>
      <c r="H57" s="357">
        <v>0</v>
      </c>
      <c r="I57" s="357">
        <v>0</v>
      </c>
      <c r="J57" s="357"/>
      <c r="K57" s="357">
        <f>-'bs'!Q77/1000</f>
        <v>0</v>
      </c>
      <c r="L57" s="357"/>
      <c r="M57" s="357">
        <f>-'bs'!N77/1000</f>
        <v>0</v>
      </c>
      <c r="N57" s="357">
        <f>-+'bs'!O77/1000</f>
        <v>0</v>
      </c>
      <c r="O57" s="357">
        <v>0</v>
      </c>
      <c r="P57" s="357">
        <v>0</v>
      </c>
      <c r="Q57" s="357">
        <v>0</v>
      </c>
      <c r="R57" s="357">
        <v>0</v>
      </c>
      <c r="S57" s="357">
        <v>0</v>
      </c>
      <c r="T57" s="357"/>
      <c r="U57" s="357">
        <v>0</v>
      </c>
      <c r="V57" s="357">
        <v>0</v>
      </c>
      <c r="W57" s="359">
        <f t="shared" si="5"/>
        <v>61.547</v>
      </c>
      <c r="X57" s="436"/>
      <c r="Y57" s="358"/>
      <c r="Z57" s="360">
        <f>+W57</f>
        <v>61.547</v>
      </c>
      <c r="AD57" s="366">
        <v>591.461</v>
      </c>
      <c r="AE57" s="362">
        <f t="shared" si="0"/>
        <v>-529.914</v>
      </c>
    </row>
    <row r="58" spans="1:31" ht="12.75">
      <c r="A58" s="436" t="s">
        <v>249</v>
      </c>
      <c r="B58" s="357">
        <v>0</v>
      </c>
      <c r="C58" s="357">
        <v>0</v>
      </c>
      <c r="D58" s="357"/>
      <c r="E58" s="357">
        <v>0</v>
      </c>
      <c r="F58" s="357">
        <v>0</v>
      </c>
      <c r="G58" s="357">
        <v>0</v>
      </c>
      <c r="H58" s="357">
        <v>0</v>
      </c>
      <c r="I58" s="357">
        <v>0</v>
      </c>
      <c r="J58" s="357"/>
      <c r="K58" s="357">
        <v>0</v>
      </c>
      <c r="L58" s="357"/>
      <c r="M58" s="357">
        <f>-'bs'!N75/1000</f>
        <v>0</v>
      </c>
      <c r="N58" s="357">
        <v>0</v>
      </c>
      <c r="O58" s="357">
        <v>0</v>
      </c>
      <c r="P58" s="357">
        <v>0</v>
      </c>
      <c r="Q58" s="357">
        <v>0</v>
      </c>
      <c r="R58" s="357">
        <v>0</v>
      </c>
      <c r="S58" s="357">
        <v>0</v>
      </c>
      <c r="T58" s="357"/>
      <c r="U58" s="357">
        <v>0</v>
      </c>
      <c r="V58" s="357">
        <v>0</v>
      </c>
      <c r="W58" s="359">
        <f t="shared" si="5"/>
        <v>0</v>
      </c>
      <c r="X58" s="436"/>
      <c r="Y58" s="358"/>
      <c r="Z58" s="360">
        <f>+W58</f>
        <v>0</v>
      </c>
      <c r="AD58" s="366">
        <v>0</v>
      </c>
      <c r="AE58" s="362">
        <f t="shared" si="0"/>
        <v>0</v>
      </c>
    </row>
    <row r="59" spans="1:31" ht="13.5" thickBot="1">
      <c r="A59" s="436"/>
      <c r="B59" s="746">
        <f aca="true" t="shared" si="7" ref="B59:I59">SUM(B46:B58)</f>
        <v>2931.132</v>
      </c>
      <c r="C59" s="746">
        <f>SUM(C46:C58)</f>
        <v>1889.2</v>
      </c>
      <c r="D59" s="746">
        <f t="shared" si="7"/>
        <v>3140.349</v>
      </c>
      <c r="E59" s="746">
        <f>SUM(E46:E58)</f>
        <v>18.989</v>
      </c>
      <c r="F59" s="746">
        <f t="shared" si="7"/>
        <v>1.13</v>
      </c>
      <c r="G59" s="746">
        <f t="shared" si="7"/>
        <v>36.5041</v>
      </c>
      <c r="H59" s="746">
        <f>SUM(H46:H58)</f>
        <v>14.205</v>
      </c>
      <c r="I59" s="746">
        <f t="shared" si="7"/>
        <v>2245.9429999999998</v>
      </c>
      <c r="J59" s="746"/>
      <c r="K59" s="746">
        <f>SUM(K46:K58)</f>
        <v>3065.7110000000002</v>
      </c>
      <c r="L59" s="746"/>
      <c r="M59" s="746">
        <f>SUM(M46:M58)</f>
        <v>17946.454</v>
      </c>
      <c r="N59" s="746">
        <f aca="true" t="shared" si="8" ref="N59:V59">SUM(N46:N58)</f>
        <v>2493.175</v>
      </c>
      <c r="O59" s="746">
        <f t="shared" si="8"/>
        <v>0.5</v>
      </c>
      <c r="P59" s="746">
        <f t="shared" si="8"/>
        <v>1.719</v>
      </c>
      <c r="Q59" s="746">
        <f t="shared" si="8"/>
        <v>11.937</v>
      </c>
      <c r="R59" s="746">
        <f t="shared" si="8"/>
        <v>504.182</v>
      </c>
      <c r="S59" s="662">
        <f t="shared" si="8"/>
        <v>317.033</v>
      </c>
      <c r="T59" s="662">
        <f t="shared" si="8"/>
        <v>0</v>
      </c>
      <c r="U59" s="746">
        <f t="shared" si="8"/>
        <v>0</v>
      </c>
      <c r="V59" s="746">
        <f t="shared" si="8"/>
        <v>0.675</v>
      </c>
      <c r="W59" s="659">
        <f>SUM(W46:W58)</f>
        <v>34618.83809999999</v>
      </c>
      <c r="X59" s="660"/>
      <c r="Y59" s="661">
        <f>SUM(Y46:Y58)</f>
        <v>-10112.307</v>
      </c>
      <c r="Z59" s="662">
        <f>SUM(Z46:Z58)</f>
        <v>24506.531100000004</v>
      </c>
      <c r="AA59" s="858"/>
      <c r="AB59" s="858"/>
      <c r="AC59" s="858"/>
      <c r="AD59" s="536">
        <f>SUM(AD46:AD58)</f>
        <v>30336.249</v>
      </c>
      <c r="AE59" s="763">
        <f t="shared" si="0"/>
        <v>-5829.717899999996</v>
      </c>
    </row>
    <row r="60" spans="1:31" ht="12.75" hidden="1">
      <c r="A60" s="436"/>
      <c r="B60" s="747"/>
      <c r="C60" s="747"/>
      <c r="D60" s="747"/>
      <c r="E60" s="747"/>
      <c r="F60" s="747"/>
      <c r="G60" s="747"/>
      <c r="H60" s="747"/>
      <c r="I60" s="747"/>
      <c r="J60" s="747"/>
      <c r="K60" s="747"/>
      <c r="L60" s="747"/>
      <c r="M60" s="747"/>
      <c r="N60" s="747"/>
      <c r="O60" s="747"/>
      <c r="P60" s="747"/>
      <c r="Q60" s="747"/>
      <c r="R60" s="747"/>
      <c r="S60" s="747"/>
      <c r="T60" s="747"/>
      <c r="U60" s="747"/>
      <c r="V60" s="747"/>
      <c r="W60" s="663"/>
      <c r="X60" s="664"/>
      <c r="Y60" s="665"/>
      <c r="Z60" s="564"/>
      <c r="AE60" s="362">
        <f t="shared" si="0"/>
        <v>0</v>
      </c>
    </row>
    <row r="61" spans="1:26" ht="13.5" thickTop="1">
      <c r="A61" s="436"/>
      <c r="B61" s="357"/>
      <c r="C61" s="357"/>
      <c r="D61" s="357"/>
      <c r="E61" s="357"/>
      <c r="F61" s="357"/>
      <c r="G61" s="357"/>
      <c r="H61" s="357"/>
      <c r="I61" s="357"/>
      <c r="J61" s="357"/>
      <c r="K61" s="357"/>
      <c r="L61" s="357"/>
      <c r="M61" s="357"/>
      <c r="N61" s="357"/>
      <c r="O61" s="357"/>
      <c r="P61" s="357"/>
      <c r="Q61" s="357"/>
      <c r="R61" s="357"/>
      <c r="S61" s="357"/>
      <c r="T61" s="357"/>
      <c r="U61" s="357"/>
      <c r="V61" s="357"/>
      <c r="W61" s="359"/>
      <c r="X61" s="436"/>
      <c r="Y61" s="358"/>
      <c r="Z61" s="360"/>
    </row>
    <row r="62" spans="1:31" ht="12.75">
      <c r="A62" s="436" t="s">
        <v>606</v>
      </c>
      <c r="B62" s="357">
        <f aca="true" t="shared" si="9" ref="B62:I62">+B42-B59</f>
        <v>-2913.847</v>
      </c>
      <c r="C62" s="357">
        <f>+C42-C59</f>
        <v>-1027.343</v>
      </c>
      <c r="D62" s="357">
        <f t="shared" si="9"/>
        <v>-3105.5750000000003</v>
      </c>
      <c r="E62" s="357">
        <f>+E42-E59</f>
        <v>11.419</v>
      </c>
      <c r="F62" s="357">
        <f t="shared" si="9"/>
        <v>83.00000000000001</v>
      </c>
      <c r="G62" s="357">
        <f t="shared" si="9"/>
        <v>-4.252099999999999</v>
      </c>
      <c r="H62" s="357">
        <f t="shared" si="9"/>
        <v>547.4929999999999</v>
      </c>
      <c r="I62" s="357">
        <f t="shared" si="9"/>
        <v>-724.4559999999997</v>
      </c>
      <c r="J62" s="357"/>
      <c r="K62" s="357">
        <f>+K42-K59</f>
        <v>-1634.0320000000004</v>
      </c>
      <c r="L62" s="357"/>
      <c r="M62" s="357">
        <f>+M42-M59</f>
        <v>94957.01299999999</v>
      </c>
      <c r="N62" s="357">
        <f aca="true" t="shared" si="10" ref="N62:W62">+N42-N59</f>
        <v>8040.038</v>
      </c>
      <c r="O62" s="357">
        <f t="shared" si="10"/>
        <v>74.762</v>
      </c>
      <c r="P62" s="357">
        <f t="shared" si="10"/>
        <v>27.291999999999998</v>
      </c>
      <c r="Q62" s="357">
        <f>+Q42-Q59</f>
        <v>488.272</v>
      </c>
      <c r="R62" s="357">
        <f t="shared" si="10"/>
        <v>-504.18</v>
      </c>
      <c r="S62" s="357">
        <f>+S42-S59</f>
        <v>-291.492</v>
      </c>
      <c r="T62" s="357">
        <f>+T42-T59</f>
        <v>0</v>
      </c>
      <c r="U62" s="357">
        <f t="shared" si="10"/>
        <v>0</v>
      </c>
      <c r="V62" s="357">
        <f t="shared" si="10"/>
        <v>-0.673</v>
      </c>
      <c r="W62" s="359">
        <f t="shared" si="10"/>
        <v>94023.43890000001</v>
      </c>
      <c r="X62" s="436"/>
      <c r="Y62" s="358">
        <f>+Y42-Y59</f>
        <v>-8579.13031</v>
      </c>
      <c r="Z62" s="360">
        <f>+Z42-Z59</f>
        <v>85444.30858999999</v>
      </c>
      <c r="AD62" s="366">
        <f>+AD42-AD59</f>
        <v>80454.67008</v>
      </c>
      <c r="AE62" s="362">
        <f t="shared" si="0"/>
        <v>4989.63850999999</v>
      </c>
    </row>
    <row r="63" spans="1:26" ht="13.5" thickBot="1">
      <c r="A63" s="436"/>
      <c r="B63" s="927"/>
      <c r="C63" s="927"/>
      <c r="D63" s="927"/>
      <c r="E63" s="927"/>
      <c r="F63" s="927"/>
      <c r="G63" s="927"/>
      <c r="H63" s="927"/>
      <c r="I63" s="927"/>
      <c r="J63" s="927"/>
      <c r="K63" s="927"/>
      <c r="L63" s="927"/>
      <c r="M63" s="927"/>
      <c r="N63" s="927"/>
      <c r="O63" s="927"/>
      <c r="P63" s="927"/>
      <c r="Q63" s="927"/>
      <c r="R63" s="927"/>
      <c r="S63" s="927"/>
      <c r="T63" s="927"/>
      <c r="U63" s="927"/>
      <c r="V63" s="927"/>
      <c r="W63" s="733"/>
      <c r="X63" s="928"/>
      <c r="Y63" s="929"/>
      <c r="Z63" s="932"/>
    </row>
    <row r="64" spans="1:31" ht="13.5" thickBot="1">
      <c r="A64" s="436"/>
      <c r="B64" s="933">
        <f aca="true" t="shared" si="11" ref="B64:I64">SUM(B9:B26)+B62</f>
        <v>-2558.697</v>
      </c>
      <c r="C64" s="933">
        <f t="shared" si="11"/>
        <v>3637.798</v>
      </c>
      <c r="D64" s="933">
        <f t="shared" si="11"/>
        <v>-1201.7040000000002</v>
      </c>
      <c r="E64" s="933">
        <f>SUM(E9:E26)+E62</f>
        <v>12.079</v>
      </c>
      <c r="F64" s="933">
        <f t="shared" si="11"/>
        <v>83.00100000000002</v>
      </c>
      <c r="G64" s="933">
        <f t="shared" si="11"/>
        <v>-4.249999999999998</v>
      </c>
      <c r="H64" s="933">
        <f t="shared" si="11"/>
        <v>647.27</v>
      </c>
      <c r="I64" s="933">
        <f t="shared" si="11"/>
        <v>-724.4559999999997</v>
      </c>
      <c r="J64" s="933"/>
      <c r="K64" s="933">
        <f>SUM(K9:K26)+K62</f>
        <v>84468.99269</v>
      </c>
      <c r="L64" s="933"/>
      <c r="M64" s="933">
        <f>SUM(M9:M26)+M62</f>
        <v>124289.34899999999</v>
      </c>
      <c r="N64" s="933">
        <f aca="true" t="shared" si="12" ref="N64:W64">SUM(N9:N26)+N62</f>
        <v>23703.036</v>
      </c>
      <c r="O64" s="933">
        <f t="shared" si="12"/>
        <v>74.762</v>
      </c>
      <c r="P64" s="933">
        <f t="shared" si="12"/>
        <v>27.291999999999998</v>
      </c>
      <c r="Q64" s="933">
        <f>SUM(Q9:Q26)+Q62</f>
        <v>3333.072</v>
      </c>
      <c r="R64" s="933">
        <f t="shared" si="12"/>
        <v>2189.8810000000003</v>
      </c>
      <c r="S64" s="933">
        <f t="shared" si="12"/>
        <v>1717.761</v>
      </c>
      <c r="T64" s="933">
        <f t="shared" si="12"/>
        <v>0</v>
      </c>
      <c r="U64" s="933">
        <f t="shared" si="12"/>
        <v>0</v>
      </c>
      <c r="V64" s="933">
        <f t="shared" si="12"/>
        <v>-0.673</v>
      </c>
      <c r="W64" s="934">
        <f t="shared" si="12"/>
        <v>239694.51369000002</v>
      </c>
      <c r="X64" s="935"/>
      <c r="Y64" s="936">
        <f>SUM(Y9:Y26)+Y62</f>
        <v>-85054.57939999999</v>
      </c>
      <c r="Z64" s="937">
        <f>SUM(Z9:Z26)+Z62</f>
        <v>154639.93429</v>
      </c>
      <c r="AA64" s="938"/>
      <c r="AB64" s="938"/>
      <c r="AC64" s="938"/>
      <c r="AD64" s="939">
        <f>+AD9+AD11+AD13+AD19+AD20+AD42-AD59</f>
        <v>150223.35307999997</v>
      </c>
      <c r="AE64" s="938">
        <f t="shared" si="0"/>
        <v>4416.581210000033</v>
      </c>
    </row>
    <row r="65" spans="1:31" ht="12.75" hidden="1">
      <c r="A65" s="436"/>
      <c r="B65" s="747"/>
      <c r="C65" s="747"/>
      <c r="D65" s="747"/>
      <c r="E65" s="747"/>
      <c r="F65" s="747"/>
      <c r="G65" s="747"/>
      <c r="H65" s="747"/>
      <c r="I65" s="747"/>
      <c r="J65" s="747"/>
      <c r="K65" s="747"/>
      <c r="L65" s="747"/>
      <c r="M65" s="747"/>
      <c r="N65" s="747"/>
      <c r="O65" s="747"/>
      <c r="P65" s="747"/>
      <c r="Q65" s="747"/>
      <c r="R65" s="747"/>
      <c r="S65" s="747"/>
      <c r="T65" s="747"/>
      <c r="U65" s="747"/>
      <c r="V65" s="747"/>
      <c r="W65" s="663"/>
      <c r="X65" s="664"/>
      <c r="Y65" s="665"/>
      <c r="Z65" s="564"/>
      <c r="AE65" s="362">
        <f t="shared" si="0"/>
        <v>0</v>
      </c>
    </row>
    <row r="66" spans="1:26" ht="12.75">
      <c r="A66" s="436"/>
      <c r="B66" s="357"/>
      <c r="C66" s="357"/>
      <c r="D66" s="357"/>
      <c r="E66" s="357"/>
      <c r="F66" s="357"/>
      <c r="G66" s="357"/>
      <c r="H66" s="357"/>
      <c r="I66" s="357"/>
      <c r="J66" s="357"/>
      <c r="K66" s="357"/>
      <c r="L66" s="357"/>
      <c r="M66" s="357"/>
      <c r="N66" s="357"/>
      <c r="O66" s="357"/>
      <c r="P66" s="357"/>
      <c r="Q66" s="357"/>
      <c r="R66" s="357"/>
      <c r="S66" s="357"/>
      <c r="T66" s="357"/>
      <c r="U66" s="357"/>
      <c r="V66" s="357"/>
      <c r="W66" s="359"/>
      <c r="X66" s="436"/>
      <c r="Y66" s="358"/>
      <c r="Z66" s="360"/>
    </row>
    <row r="67" spans="1:26" ht="12.75">
      <c r="A67" s="436" t="s">
        <v>607</v>
      </c>
      <c r="B67" s="357"/>
      <c r="C67" s="357"/>
      <c r="D67" s="357"/>
      <c r="E67" s="357"/>
      <c r="F67" s="357"/>
      <c r="G67" s="357"/>
      <c r="H67" s="357"/>
      <c r="I67" s="357"/>
      <c r="J67" s="357"/>
      <c r="K67" s="357"/>
      <c r="L67" s="357"/>
      <c r="M67" s="357"/>
      <c r="N67" s="357"/>
      <c r="O67" s="357"/>
      <c r="P67" s="357"/>
      <c r="Q67" s="357"/>
      <c r="R67" s="357"/>
      <c r="S67" s="357"/>
      <c r="T67" s="357"/>
      <c r="U67" s="357"/>
      <c r="V67" s="357"/>
      <c r="W67" s="359"/>
      <c r="X67" s="436"/>
      <c r="Y67" s="358"/>
      <c r="Z67" s="360"/>
    </row>
    <row r="68" spans="1:26" ht="12.75">
      <c r="A68" s="436"/>
      <c r="B68" s="357"/>
      <c r="C68" s="357"/>
      <c r="D68" s="357"/>
      <c r="E68" s="357"/>
      <c r="F68" s="357"/>
      <c r="G68" s="357"/>
      <c r="H68" s="357"/>
      <c r="I68" s="357"/>
      <c r="J68" s="357"/>
      <c r="K68" s="357"/>
      <c r="L68" s="357"/>
      <c r="M68" s="357"/>
      <c r="N68" s="357"/>
      <c r="O68" s="357"/>
      <c r="P68" s="357"/>
      <c r="Q68" s="357"/>
      <c r="R68" s="357"/>
      <c r="S68" s="357"/>
      <c r="T68" s="357"/>
      <c r="U68" s="357"/>
      <c r="V68" s="357"/>
      <c r="W68" s="359"/>
      <c r="X68" s="436"/>
      <c r="Y68" s="358"/>
      <c r="Z68" s="360"/>
    </row>
    <row r="69" spans="1:31" ht="12.75">
      <c r="A69" s="436" t="s">
        <v>312</v>
      </c>
      <c r="B69" s="357">
        <f>+'bs'!D9/1000</f>
        <v>5000</v>
      </c>
      <c r="C69" s="357">
        <f>+'bs'!E9/1000</f>
        <v>2999.997</v>
      </c>
      <c r="D69" s="357">
        <f>+'bs'!F9/1000</f>
        <v>6000</v>
      </c>
      <c r="E69" s="357">
        <f>+'bs'!G9/1000</f>
        <v>1500.003</v>
      </c>
      <c r="F69" s="357">
        <f>1000000/1000</f>
        <v>1000</v>
      </c>
      <c r="G69" s="360">
        <v>1250</v>
      </c>
      <c r="H69" s="357">
        <f>+'bs'!L9/1000</f>
        <v>4500</v>
      </c>
      <c r="I69" s="360">
        <v>0.002</v>
      </c>
      <c r="J69" s="357"/>
      <c r="K69" s="357">
        <f>+'bs'!Q9/1000</f>
        <v>53105.9</v>
      </c>
      <c r="L69" s="357"/>
      <c r="M69" s="357">
        <f>+'bs'!N9/1000</f>
        <v>2000</v>
      </c>
      <c r="N69" s="357">
        <f>+'bs'!O9/1000</f>
        <v>500</v>
      </c>
      <c r="O69" s="357">
        <v>100</v>
      </c>
      <c r="P69" s="357">
        <v>500</v>
      </c>
      <c r="Q69" s="357">
        <v>0.002</v>
      </c>
      <c r="R69" s="360">
        <v>0.002</v>
      </c>
      <c r="S69" s="360">
        <f>2/1000</f>
        <v>0.002</v>
      </c>
      <c r="T69" s="357">
        <v>0</v>
      </c>
      <c r="U69" s="357">
        <v>0</v>
      </c>
      <c r="V69" s="357">
        <v>0.002</v>
      </c>
      <c r="W69" s="359">
        <f>SUM(B69:V69)</f>
        <v>78455.90999999997</v>
      </c>
      <c r="X69" s="436" t="s">
        <v>352</v>
      </c>
      <c r="Y69" s="358">
        <f>-je!E233/1000</f>
        <v>-25350.010000000002</v>
      </c>
      <c r="Z69" s="360">
        <f>+W69+Y69</f>
        <v>53105.89999999997</v>
      </c>
      <c r="AD69" s="366">
        <v>53075.9</v>
      </c>
      <c r="AE69" s="362">
        <f t="shared" si="0"/>
        <v>29.999999999970896</v>
      </c>
    </row>
    <row r="70" spans="1:26" ht="12.75">
      <c r="A70" s="436"/>
      <c r="B70" s="357"/>
      <c r="C70" s="357"/>
      <c r="D70" s="357"/>
      <c r="E70" s="357"/>
      <c r="F70" s="357"/>
      <c r="G70" s="357"/>
      <c r="H70" s="357"/>
      <c r="I70" s="357"/>
      <c r="J70" s="357"/>
      <c r="K70" s="357"/>
      <c r="L70" s="357"/>
      <c r="M70" s="357"/>
      <c r="N70" s="357"/>
      <c r="O70" s="357"/>
      <c r="P70" s="357"/>
      <c r="Q70" s="357"/>
      <c r="R70" s="357"/>
      <c r="S70" s="357"/>
      <c r="T70" s="357"/>
      <c r="U70" s="357"/>
      <c r="V70" s="357"/>
      <c r="W70" s="359"/>
      <c r="X70" s="436"/>
      <c r="Y70" s="358"/>
      <c r="Z70" s="360"/>
    </row>
    <row r="71" spans="1:31" ht="12.75">
      <c r="A71" s="436" t="s">
        <v>313</v>
      </c>
      <c r="B71" s="357">
        <f>+'bs'!D11/1000</f>
        <v>-23577.828</v>
      </c>
      <c r="C71" s="357">
        <f>+'bs'!E11/1000</f>
        <v>-17902.824</v>
      </c>
      <c r="D71" s="357">
        <f>+'bs'!F11/1000</f>
        <v>-9352.274</v>
      </c>
      <c r="E71" s="357">
        <f>+'bs'!G11/1000</f>
        <v>-757.212</v>
      </c>
      <c r="F71" s="357">
        <f>-2096177/1000</f>
        <v>-2096.177</v>
      </c>
      <c r="G71" s="360">
        <f>2988642/1000+1.299</f>
        <v>2989.941</v>
      </c>
      <c r="H71" s="357">
        <f>+'bs'!L11/1000</f>
        <v>-3425.269</v>
      </c>
      <c r="I71" s="360">
        <f>364763/1000-1086.354</f>
        <v>-721.5910000000001</v>
      </c>
      <c r="J71" s="357"/>
      <c r="K71" s="357">
        <f>+'bs'!Q11/1000</f>
        <v>-62255.843</v>
      </c>
      <c r="L71" s="357"/>
      <c r="M71" s="357">
        <f>+'bs'!N11/1000+'bs'!N12/1000+144</f>
        <v>104126.131</v>
      </c>
      <c r="N71" s="357">
        <f>+'bs'!O11/1000</f>
        <v>18208.873</v>
      </c>
      <c r="O71" s="357">
        <f>-21706/1000-1.082-1.246</f>
        <v>-24.034</v>
      </c>
      <c r="P71" s="357">
        <f>-476.014-1.862</f>
        <v>-477.87600000000003</v>
      </c>
      <c r="Q71" s="357">
        <f>-11790206/1000-520.137</f>
        <v>-12310.343</v>
      </c>
      <c r="R71" s="360">
        <f>-3825.713+258.841-5.019+129.649</f>
        <v>-3442.242</v>
      </c>
      <c r="S71" s="360">
        <f>-468662.35/1000</f>
        <v>-468.66235</v>
      </c>
      <c r="T71" s="357">
        <v>0</v>
      </c>
      <c r="U71" s="357">
        <v>0</v>
      </c>
      <c r="V71" s="357">
        <f>-10.64-1.397</f>
        <v>-12.037</v>
      </c>
      <c r="W71" s="359">
        <f>SUM(B71:V71)</f>
        <v>-11499.267350000013</v>
      </c>
      <c r="X71" s="436" t="s">
        <v>360</v>
      </c>
      <c r="Y71" s="358">
        <f>-je!N233/1000</f>
        <v>22561.460900000005</v>
      </c>
      <c r="Z71" s="360">
        <f>+W71+Y71</f>
        <v>11062.193549999993</v>
      </c>
      <c r="AB71" s="362">
        <v>11062.192</v>
      </c>
      <c r="AC71" s="362">
        <f>Z71-AB71</f>
        <v>0.0015499999935855158</v>
      </c>
      <c r="AD71" s="366">
        <v>11062.194</v>
      </c>
      <c r="AE71" s="362">
        <f t="shared" si="0"/>
        <v>-0.00045000000682193786</v>
      </c>
    </row>
    <row r="72" spans="1:31" ht="12.75">
      <c r="A72" s="436" t="s">
        <v>1336</v>
      </c>
      <c r="B72" s="357">
        <f>+'P&amp;L'!C78</f>
        <v>-55.588999999999984</v>
      </c>
      <c r="C72" s="357">
        <f>+'P&amp;L'!D78</f>
        <v>459.34700000000026</v>
      </c>
      <c r="D72" s="357">
        <f>+'P&amp;L'!F78</f>
        <v>12.360999999999997</v>
      </c>
      <c r="E72" s="357">
        <f>+'P&amp;L'!E78</f>
        <v>13.372999999999998</v>
      </c>
      <c r="F72" s="357">
        <f>+'P&amp;L'!G78</f>
        <v>-6.996</v>
      </c>
      <c r="G72" s="360">
        <f>+'P&amp;L'!H78</f>
        <v>-0.5729999999999995</v>
      </c>
      <c r="H72" s="357">
        <f>+'P&amp;L'!I78</f>
        <v>-427.461</v>
      </c>
      <c r="I72" s="357">
        <f>+'P&amp;L'!J78</f>
        <v>-2.867</v>
      </c>
      <c r="J72" s="357"/>
      <c r="K72" s="357">
        <f>+'P&amp;L'!B78</f>
        <v>1065.3779999999997</v>
      </c>
      <c r="L72" s="357"/>
      <c r="M72" s="357">
        <f>+'P&amp;L'!K78-'P&amp;L'!K85</f>
        <v>17451.217999999997</v>
      </c>
      <c r="N72" s="357">
        <f>+'P&amp;L'!L78</f>
        <v>2003.7040000000065</v>
      </c>
      <c r="O72" s="357">
        <f>+'P&amp;L'!M78</f>
        <v>-1.204</v>
      </c>
      <c r="P72" s="357">
        <f>+'P&amp;L'!N78</f>
        <v>-0.8899999999999999</v>
      </c>
      <c r="Q72" s="357">
        <f>+'P&amp;L'!O78</f>
        <v>65.54899999999999</v>
      </c>
      <c r="R72" s="360">
        <f>+'P&amp;L'!P78</f>
        <v>-2.109</v>
      </c>
      <c r="S72" s="360">
        <f>+'P&amp;L'!Q78</f>
        <v>-192.455</v>
      </c>
      <c r="T72" s="357"/>
      <c r="U72" s="357"/>
      <c r="V72" s="357">
        <f>+'P&amp;L'!T78</f>
        <v>-1.647</v>
      </c>
      <c r="W72" s="359">
        <f>SUM(B72:V72)</f>
        <v>20379.139</v>
      </c>
      <c r="X72" s="436" t="s">
        <v>609</v>
      </c>
      <c r="Y72" s="358">
        <f>-je!O233/1000-je!P233/1000</f>
        <v>-7154.4493</v>
      </c>
      <c r="Z72" s="360">
        <f>+W72+Y72</f>
        <v>13224.689699999999</v>
      </c>
      <c r="AA72" s="362">
        <f>'P&amp;L'!Y87</f>
        <v>13224.689699999957</v>
      </c>
      <c r="AD72" s="366">
        <v>11237.39</v>
      </c>
      <c r="AE72" s="362">
        <f t="shared" si="0"/>
        <v>1987.2996999999996</v>
      </c>
    </row>
    <row r="73" spans="1:31" ht="12.75">
      <c r="A73" s="436" t="s">
        <v>1337</v>
      </c>
      <c r="B73" s="357"/>
      <c r="C73" s="357"/>
      <c r="D73" s="357"/>
      <c r="E73" s="357"/>
      <c r="F73" s="357"/>
      <c r="G73" s="357"/>
      <c r="H73" s="357"/>
      <c r="I73" s="357"/>
      <c r="J73" s="357"/>
      <c r="K73" s="357"/>
      <c r="L73" s="357"/>
      <c r="M73" s="357"/>
      <c r="N73" s="357"/>
      <c r="O73" s="357"/>
      <c r="P73" s="357"/>
      <c r="Q73" s="357"/>
      <c r="R73" s="357"/>
      <c r="S73" s="357"/>
      <c r="T73" s="357"/>
      <c r="U73" s="357"/>
      <c r="V73" s="357"/>
      <c r="W73" s="359">
        <f>SUM(B73:V73)</f>
        <v>0</v>
      </c>
      <c r="X73" s="436" t="s">
        <v>1143</v>
      </c>
      <c r="Y73" s="358">
        <f>-je!M120/1000</f>
        <v>-509.341</v>
      </c>
      <c r="Z73" s="360">
        <f>+W73+Y73</f>
        <v>-509.341</v>
      </c>
      <c r="AA73" s="362">
        <f>SUM(Z71:Z72)+Z80+Z73</f>
        <v>23777.54224999999</v>
      </c>
      <c r="AD73" s="366">
        <v>-494.306</v>
      </c>
      <c r="AE73" s="362">
        <f t="shared" si="0"/>
        <v>-15.035000000000025</v>
      </c>
    </row>
    <row r="74" spans="1:31" ht="12.75">
      <c r="A74" s="436" t="s">
        <v>610</v>
      </c>
      <c r="B74" s="357">
        <v>0</v>
      </c>
      <c r="C74" s="357">
        <v>0</v>
      </c>
      <c r="D74" s="357">
        <v>0</v>
      </c>
      <c r="E74" s="357">
        <v>0</v>
      </c>
      <c r="F74" s="357">
        <v>0</v>
      </c>
      <c r="G74" s="357">
        <v>0</v>
      </c>
      <c r="H74" s="357">
        <v>0</v>
      </c>
      <c r="I74" s="357">
        <v>0</v>
      </c>
      <c r="J74" s="357"/>
      <c r="K74" s="357">
        <f>+'bs'!Q8/1000</f>
        <v>3715.075</v>
      </c>
      <c r="L74" s="357"/>
      <c r="M74" s="357">
        <v>0</v>
      </c>
      <c r="N74" s="357">
        <v>0</v>
      </c>
      <c r="O74" s="357">
        <v>0</v>
      </c>
      <c r="P74" s="357">
        <v>0</v>
      </c>
      <c r="Q74" s="357">
        <v>0</v>
      </c>
      <c r="R74" s="357">
        <v>0</v>
      </c>
      <c r="S74" s="357">
        <v>0</v>
      </c>
      <c r="T74" s="357"/>
      <c r="U74" s="357">
        <v>0</v>
      </c>
      <c r="V74" s="357">
        <v>0</v>
      </c>
      <c r="W74" s="359">
        <f>SUM(B74:V74)</f>
        <v>3715.075</v>
      </c>
      <c r="X74" s="436"/>
      <c r="Y74" s="358">
        <f>Z74-W74</f>
        <v>0</v>
      </c>
      <c r="Z74" s="360">
        <f>W74</f>
        <v>3715.075</v>
      </c>
      <c r="AD74" s="366">
        <v>3715.075</v>
      </c>
      <c r="AE74" s="362">
        <f t="shared" si="0"/>
        <v>0</v>
      </c>
    </row>
    <row r="75" spans="1:26" ht="12.75">
      <c r="A75" s="436"/>
      <c r="B75" s="357"/>
      <c r="C75" s="357"/>
      <c r="D75" s="357"/>
      <c r="E75" s="357"/>
      <c r="F75" s="357"/>
      <c r="G75" s="357"/>
      <c r="H75" s="357"/>
      <c r="I75" s="357"/>
      <c r="J75" s="357"/>
      <c r="K75" s="357"/>
      <c r="L75" s="357"/>
      <c r="M75" s="357"/>
      <c r="N75" s="357"/>
      <c r="O75" s="357"/>
      <c r="P75" s="357"/>
      <c r="Q75" s="357"/>
      <c r="R75" s="357"/>
      <c r="S75" s="357"/>
      <c r="T75" s="357"/>
      <c r="U75" s="357"/>
      <c r="V75" s="357"/>
      <c r="W75" s="359"/>
      <c r="X75" s="436"/>
      <c r="Y75" s="358"/>
      <c r="Z75" s="360"/>
    </row>
    <row r="76" spans="1:31" ht="12.75">
      <c r="A76" s="436" t="s">
        <v>1298</v>
      </c>
      <c r="B76" s="357">
        <v>0</v>
      </c>
      <c r="C76" s="357">
        <v>0</v>
      </c>
      <c r="D76" s="357">
        <f>+'bs'!F10/1000</f>
        <v>201.762</v>
      </c>
      <c r="E76" s="357">
        <v>0</v>
      </c>
      <c r="F76" s="357">
        <v>0</v>
      </c>
      <c r="G76" s="357">
        <v>0</v>
      </c>
      <c r="H76" s="357">
        <v>0</v>
      </c>
      <c r="I76" s="357">
        <v>0</v>
      </c>
      <c r="J76" s="357"/>
      <c r="K76" s="357">
        <f>+'bs'!Q10/1000</f>
        <v>83908.483</v>
      </c>
      <c r="L76" s="357"/>
      <c r="M76" s="357">
        <f>+'bs'!N10/1000</f>
        <v>856</v>
      </c>
      <c r="N76" s="357">
        <f>+'bs'!O10/1000</f>
        <v>1607.459</v>
      </c>
      <c r="O76" s="357">
        <v>0</v>
      </c>
      <c r="P76" s="357">
        <v>0</v>
      </c>
      <c r="Q76" s="357">
        <v>0</v>
      </c>
      <c r="R76" s="357">
        <v>0</v>
      </c>
      <c r="S76" s="357">
        <v>0</v>
      </c>
      <c r="T76" s="357"/>
      <c r="U76" s="357">
        <v>0</v>
      </c>
      <c r="V76" s="357">
        <v>0</v>
      </c>
      <c r="W76" s="359">
        <f>SUM(B76:V76)</f>
        <v>86573.704</v>
      </c>
      <c r="X76" s="436" t="s">
        <v>359</v>
      </c>
      <c r="Y76" s="358">
        <f>-je!L233/1000</f>
        <v>-86197.016</v>
      </c>
      <c r="Z76" s="360">
        <f>+W76+Y76</f>
        <v>376.68799999999464</v>
      </c>
      <c r="AD76" s="366">
        <v>376.688</v>
      </c>
      <c r="AE76" s="362">
        <f t="shared" si="0"/>
        <v>-5.343281372915953E-12</v>
      </c>
    </row>
    <row r="77" spans="1:31" ht="12.75">
      <c r="A77" s="436" t="s">
        <v>1299</v>
      </c>
      <c r="B77" s="357">
        <v>0</v>
      </c>
      <c r="C77" s="357">
        <v>0</v>
      </c>
      <c r="D77" s="357">
        <v>0</v>
      </c>
      <c r="E77" s="357">
        <v>0</v>
      </c>
      <c r="F77" s="357">
        <v>0</v>
      </c>
      <c r="G77" s="357">
        <v>0</v>
      </c>
      <c r="H77" s="357">
        <v>0</v>
      </c>
      <c r="I77" s="357">
        <v>0</v>
      </c>
      <c r="J77" s="357"/>
      <c r="K77" s="357">
        <v>0</v>
      </c>
      <c r="L77" s="357"/>
      <c r="M77" s="357">
        <v>0</v>
      </c>
      <c r="N77" s="357">
        <v>0</v>
      </c>
      <c r="O77" s="357">
        <v>0</v>
      </c>
      <c r="P77" s="357">
        <v>0</v>
      </c>
      <c r="Q77" s="357">
        <v>0</v>
      </c>
      <c r="R77" s="357">
        <v>0</v>
      </c>
      <c r="S77" s="357">
        <v>0</v>
      </c>
      <c r="T77" s="357"/>
      <c r="U77" s="357">
        <v>0</v>
      </c>
      <c r="V77" s="357">
        <v>0</v>
      </c>
      <c r="W77" s="359">
        <f>SUM(B77:V77)</f>
        <v>0</v>
      </c>
      <c r="X77" s="436" t="s">
        <v>355</v>
      </c>
      <c r="Y77" s="358">
        <f>-je!H233/1000</f>
        <v>1091.784</v>
      </c>
      <c r="Z77" s="360">
        <f>+W77+Y77</f>
        <v>1091.784</v>
      </c>
      <c r="AD77" s="366">
        <v>1076.749</v>
      </c>
      <c r="AE77" s="362">
        <f t="shared" si="0"/>
        <v>15.035000000000082</v>
      </c>
    </row>
    <row r="78" spans="1:31" ht="12.75">
      <c r="A78" s="436" t="s">
        <v>886</v>
      </c>
      <c r="B78" s="357">
        <v>0</v>
      </c>
      <c r="C78" s="357">
        <v>0</v>
      </c>
      <c r="D78" s="357">
        <v>0</v>
      </c>
      <c r="E78" s="357">
        <v>0</v>
      </c>
      <c r="F78" s="357">
        <v>0</v>
      </c>
      <c r="G78" s="357">
        <v>0</v>
      </c>
      <c r="H78" s="357">
        <v>0</v>
      </c>
      <c r="I78" s="357">
        <v>0</v>
      </c>
      <c r="J78" s="357"/>
      <c r="K78" s="357">
        <v>0</v>
      </c>
      <c r="L78" s="357"/>
      <c r="M78" s="357">
        <v>0</v>
      </c>
      <c r="N78" s="357">
        <v>0</v>
      </c>
      <c r="O78" s="357">
        <v>0</v>
      </c>
      <c r="P78" s="357">
        <v>0</v>
      </c>
      <c r="Q78" s="357">
        <v>0</v>
      </c>
      <c r="R78" s="357">
        <v>0</v>
      </c>
      <c r="S78" s="357">
        <v>0</v>
      </c>
      <c r="T78" s="357"/>
      <c r="U78" s="357">
        <v>0</v>
      </c>
      <c r="V78" s="357">
        <v>0</v>
      </c>
      <c r="W78" s="359">
        <f>SUM(B78:V78)</f>
        <v>0</v>
      </c>
      <c r="X78" s="436" t="s">
        <v>843</v>
      </c>
      <c r="Y78" s="358">
        <f>-je!K233/1000</f>
        <v>2084.46</v>
      </c>
      <c r="Z78" s="360">
        <f>+W78+Y78</f>
        <v>2084.46</v>
      </c>
      <c r="AD78" s="366">
        <v>983.105</v>
      </c>
      <c r="AE78" s="362">
        <f t="shared" si="0"/>
        <v>1101.355</v>
      </c>
    </row>
    <row r="79" spans="1:26" ht="12.75">
      <c r="A79" s="436"/>
      <c r="B79" s="357"/>
      <c r="C79" s="357"/>
      <c r="D79" s="357"/>
      <c r="E79" s="357"/>
      <c r="F79" s="357"/>
      <c r="G79" s="357"/>
      <c r="H79" s="357"/>
      <c r="I79" s="357"/>
      <c r="J79" s="357"/>
      <c r="K79" s="357"/>
      <c r="L79" s="357"/>
      <c r="M79" s="357"/>
      <c r="N79" s="357"/>
      <c r="O79" s="357"/>
      <c r="P79" s="357"/>
      <c r="Q79" s="357"/>
      <c r="R79" s="357"/>
      <c r="S79" s="357"/>
      <c r="T79" s="357"/>
      <c r="U79" s="357"/>
      <c r="V79" s="357"/>
      <c r="W79" s="359"/>
      <c r="X79" s="436"/>
      <c r="Y79" s="358"/>
      <c r="Z79" s="360"/>
    </row>
    <row r="80" spans="1:31" ht="12.75">
      <c r="A80" s="436" t="s">
        <v>247</v>
      </c>
      <c r="B80" s="357">
        <v>0</v>
      </c>
      <c r="C80" s="357">
        <v>0</v>
      </c>
      <c r="D80" s="357">
        <v>0</v>
      </c>
      <c r="E80" s="357">
        <v>0</v>
      </c>
      <c r="F80" s="357">
        <v>0</v>
      </c>
      <c r="G80" s="357">
        <v>0</v>
      </c>
      <c r="H80" s="357">
        <v>0</v>
      </c>
      <c r="I80" s="357">
        <v>0</v>
      </c>
      <c r="J80" s="357"/>
      <c r="K80" s="357">
        <v>0</v>
      </c>
      <c r="L80" s="357"/>
      <c r="M80" s="357">
        <v>-144</v>
      </c>
      <c r="N80" s="357">
        <v>0</v>
      </c>
      <c r="O80" s="357">
        <v>0</v>
      </c>
      <c r="P80" s="357">
        <v>0</v>
      </c>
      <c r="Q80" s="357">
        <v>0</v>
      </c>
      <c r="R80" s="357">
        <v>0</v>
      </c>
      <c r="S80" s="357">
        <v>0</v>
      </c>
      <c r="T80" s="357"/>
      <c r="U80" s="357">
        <v>0</v>
      </c>
      <c r="V80" s="357">
        <v>0</v>
      </c>
      <c r="W80" s="359">
        <f>SUM(B80:V80)</f>
        <v>-144</v>
      </c>
      <c r="X80" s="436" t="s">
        <v>846</v>
      </c>
      <c r="Y80" s="358">
        <f>-(je!M135+je!M140)/1000</f>
        <v>144</v>
      </c>
      <c r="Z80" s="360">
        <f>+W80+Y80</f>
        <v>0</v>
      </c>
      <c r="AA80" s="375"/>
      <c r="AD80" s="366">
        <v>0</v>
      </c>
      <c r="AE80" s="362">
        <f t="shared" si="0"/>
        <v>0</v>
      </c>
    </row>
    <row r="81" spans="1:26" ht="12.75">
      <c r="A81" s="436"/>
      <c r="B81" s="927"/>
      <c r="C81" s="927"/>
      <c r="D81" s="927"/>
      <c r="E81" s="927"/>
      <c r="F81" s="927"/>
      <c r="G81" s="927"/>
      <c r="H81" s="927"/>
      <c r="I81" s="927"/>
      <c r="J81" s="927"/>
      <c r="K81" s="927"/>
      <c r="L81" s="927"/>
      <c r="M81" s="927"/>
      <c r="N81" s="927"/>
      <c r="O81" s="927"/>
      <c r="P81" s="927"/>
      <c r="Q81" s="927"/>
      <c r="R81" s="927"/>
      <c r="S81" s="927"/>
      <c r="T81" s="927"/>
      <c r="U81" s="927"/>
      <c r="V81" s="927"/>
      <c r="W81" s="733"/>
      <c r="X81" s="928"/>
      <c r="Y81" s="929"/>
      <c r="Z81" s="932"/>
    </row>
    <row r="82" spans="1:31" ht="13.5" thickBot="1">
      <c r="A82" s="436"/>
      <c r="B82" s="746">
        <f aca="true" t="shared" si="13" ref="B82:I82">SUM(B69:B81)</f>
        <v>-18633.417</v>
      </c>
      <c r="C82" s="746">
        <f>SUM(C69:C81)</f>
        <v>-14443.480000000001</v>
      </c>
      <c r="D82" s="746">
        <f t="shared" si="13"/>
        <v>-3138.1509999999994</v>
      </c>
      <c r="E82" s="746">
        <f>SUM(E69:E81)</f>
        <v>756.164</v>
      </c>
      <c r="F82" s="746">
        <f>SUM(F69:F81)</f>
        <v>-1103.1730000000002</v>
      </c>
      <c r="G82" s="746">
        <f t="shared" si="13"/>
        <v>4239.3679999999995</v>
      </c>
      <c r="H82" s="746">
        <f t="shared" si="13"/>
        <v>647.2700000000002</v>
      </c>
      <c r="I82" s="746">
        <f t="shared" si="13"/>
        <v>-724.4560000000001</v>
      </c>
      <c r="J82" s="746"/>
      <c r="K82" s="746">
        <f>SUM(K69:K81)</f>
        <v>79538.99299999999</v>
      </c>
      <c r="L82" s="746"/>
      <c r="M82" s="746">
        <f aca="true" t="shared" si="14" ref="M82:V82">SUM(M69:M81)</f>
        <v>124289.34899999999</v>
      </c>
      <c r="N82" s="746">
        <f t="shared" si="14"/>
        <v>22320.036000000004</v>
      </c>
      <c r="O82" s="746">
        <f t="shared" si="14"/>
        <v>74.76200000000001</v>
      </c>
      <c r="P82" s="746">
        <f t="shared" si="14"/>
        <v>21.233999999999966</v>
      </c>
      <c r="Q82" s="746">
        <f>SUM(Q69:Q81)</f>
        <v>-12244.792</v>
      </c>
      <c r="R82" s="746">
        <f>SUM(R69:R81)</f>
        <v>-3444.349</v>
      </c>
      <c r="S82" s="746">
        <f>SUM(S69:S81)</f>
        <v>-661.11535</v>
      </c>
      <c r="T82" s="746"/>
      <c r="U82" s="746"/>
      <c r="V82" s="746">
        <f t="shared" si="14"/>
        <v>-13.682</v>
      </c>
      <c r="W82" s="659">
        <f>SUM(W69:W81)</f>
        <v>177480.56064999994</v>
      </c>
      <c r="X82" s="660"/>
      <c r="Y82" s="661">
        <f>SUM(Y69:Y81)</f>
        <v>-93329.1114</v>
      </c>
      <c r="Z82" s="662">
        <f>SUM(Z69:Z81)</f>
        <v>84151.44924999996</v>
      </c>
      <c r="AA82" s="763"/>
      <c r="AB82" s="763"/>
      <c r="AC82" s="763"/>
      <c r="AD82" s="536">
        <f>SUM(AD69:AD81)</f>
        <v>81032.79499999998</v>
      </c>
      <c r="AE82" s="763">
        <f t="shared" si="0"/>
        <v>3118.6542499999778</v>
      </c>
    </row>
    <row r="83" spans="1:26" ht="13.5" thickTop="1">
      <c r="A83" s="436"/>
      <c r="B83" s="747"/>
      <c r="C83" s="747"/>
      <c r="D83" s="747"/>
      <c r="E83" s="747"/>
      <c r="F83" s="747"/>
      <c r="G83" s="747"/>
      <c r="H83" s="747"/>
      <c r="I83" s="747"/>
      <c r="J83" s="747"/>
      <c r="K83" s="747"/>
      <c r="L83" s="747"/>
      <c r="M83" s="747"/>
      <c r="N83" s="747"/>
      <c r="O83" s="747"/>
      <c r="P83" s="747"/>
      <c r="Q83" s="747"/>
      <c r="R83" s="747"/>
      <c r="S83" s="747"/>
      <c r="T83" s="747"/>
      <c r="U83" s="747"/>
      <c r="V83" s="747"/>
      <c r="W83" s="663"/>
      <c r="X83" s="664"/>
      <c r="Y83" s="665"/>
      <c r="Z83" s="564"/>
    </row>
    <row r="84" spans="1:31" ht="12.75">
      <c r="A84" s="436" t="s">
        <v>369</v>
      </c>
      <c r="B84" s="357">
        <v>0</v>
      </c>
      <c r="C84" s="357">
        <v>0</v>
      </c>
      <c r="D84" s="357">
        <v>0</v>
      </c>
      <c r="E84" s="357">
        <v>0</v>
      </c>
      <c r="F84" s="357">
        <v>0</v>
      </c>
      <c r="G84" s="357">
        <v>0</v>
      </c>
      <c r="H84" s="357">
        <v>0</v>
      </c>
      <c r="I84" s="357">
        <v>0</v>
      </c>
      <c r="J84" s="357"/>
      <c r="K84" s="357">
        <v>0</v>
      </c>
      <c r="L84" s="357"/>
      <c r="M84" s="357">
        <v>0</v>
      </c>
      <c r="N84" s="357">
        <v>0</v>
      </c>
      <c r="O84" s="357">
        <v>0</v>
      </c>
      <c r="P84" s="357">
        <v>0</v>
      </c>
      <c r="Q84" s="357">
        <v>0</v>
      </c>
      <c r="R84" s="357">
        <v>0</v>
      </c>
      <c r="S84" s="357">
        <v>0</v>
      </c>
      <c r="T84" s="357"/>
      <c r="U84" s="357">
        <v>0</v>
      </c>
      <c r="V84" s="357">
        <v>0</v>
      </c>
      <c r="W84" s="359">
        <f>SUM(B84:V84)</f>
        <v>0</v>
      </c>
      <c r="X84" s="436" t="s">
        <v>354</v>
      </c>
      <c r="Y84" s="358">
        <f>-je!G233/1000</f>
        <v>61763.886999999995</v>
      </c>
      <c r="Z84" s="360">
        <f>+Y84</f>
        <v>61763.886999999995</v>
      </c>
      <c r="AD84" s="366">
        <v>60221.96</v>
      </c>
      <c r="AE84" s="362">
        <f aca="true" t="shared" si="15" ref="AE84:AE103">Z84-AD84</f>
        <v>1541.926999999996</v>
      </c>
    </row>
    <row r="85" spans="1:26" ht="12.75">
      <c r="A85" s="436"/>
      <c r="B85" s="357"/>
      <c r="C85" s="357"/>
      <c r="D85" s="357"/>
      <c r="E85" s="357"/>
      <c r="F85" s="357"/>
      <c r="G85" s="357"/>
      <c r="H85" s="357"/>
      <c r="I85" s="357"/>
      <c r="J85" s="357"/>
      <c r="K85" s="357"/>
      <c r="L85" s="357"/>
      <c r="M85" s="357"/>
      <c r="N85" s="357"/>
      <c r="O85" s="357"/>
      <c r="P85" s="357"/>
      <c r="Q85" s="357"/>
      <c r="R85" s="357"/>
      <c r="S85" s="357"/>
      <c r="T85" s="357"/>
      <c r="U85" s="357"/>
      <c r="V85" s="357"/>
      <c r="W85" s="359"/>
      <c r="X85" s="436"/>
      <c r="Y85" s="358"/>
      <c r="Z85" s="360"/>
    </row>
    <row r="86" spans="1:31" ht="12.75">
      <c r="A86" s="436" t="s">
        <v>611</v>
      </c>
      <c r="B86" s="357">
        <f>+'bs'!D20/1000</f>
        <v>16074.72</v>
      </c>
      <c r="C86" s="357">
        <f>+'bs'!E20/1000</f>
        <v>15669.68</v>
      </c>
      <c r="D86" s="357">
        <f>+'bs'!F20/1000</f>
        <v>1936.447</v>
      </c>
      <c r="E86" s="357">
        <f>+'bs'!G20/1000+'bs'!G22/1000</f>
        <v>-744.085</v>
      </c>
      <c r="F86" s="360">
        <v>1186.174</v>
      </c>
      <c r="G86" s="357">
        <f>-4243618/1000</f>
        <v>-4243.618</v>
      </c>
      <c r="H86" s="357">
        <f>+'bs'!L20/1000</f>
        <v>0</v>
      </c>
      <c r="I86" s="357">
        <v>0</v>
      </c>
      <c r="J86" s="357"/>
      <c r="K86" s="357">
        <v>0</v>
      </c>
      <c r="L86" s="357"/>
      <c r="M86" s="362">
        <v>0</v>
      </c>
      <c r="N86" s="357">
        <v>0</v>
      </c>
      <c r="O86" s="357">
        <v>0</v>
      </c>
      <c r="P86" s="357">
        <v>6.058</v>
      </c>
      <c r="Q86" s="357">
        <v>15577.864</v>
      </c>
      <c r="R86" s="360">
        <v>5634.23</v>
      </c>
      <c r="S86" s="360">
        <v>2378.876</v>
      </c>
      <c r="T86" s="357">
        <v>0</v>
      </c>
      <c r="U86" s="357">
        <v>0</v>
      </c>
      <c r="V86" s="357">
        <v>13.009</v>
      </c>
      <c r="W86" s="894">
        <f>SUM(B86:V86)</f>
        <v>53489.355</v>
      </c>
      <c r="X86" s="436" t="str">
        <f>+je!A72</f>
        <v>CJE 8</v>
      </c>
      <c r="Y86" s="358">
        <f>-je!M72/1000+W51</f>
        <v>-53489.355</v>
      </c>
      <c r="Z86" s="360">
        <f>+Y86+W86</f>
        <v>0</v>
      </c>
      <c r="AD86" s="366">
        <v>0</v>
      </c>
      <c r="AE86" s="362">
        <f t="shared" si="15"/>
        <v>0</v>
      </c>
    </row>
    <row r="87" spans="1:26" ht="12.75">
      <c r="A87" s="436"/>
      <c r="B87" s="357"/>
      <c r="C87" s="357"/>
      <c r="D87" s="357"/>
      <c r="E87" s="357"/>
      <c r="F87" s="357"/>
      <c r="G87" s="357"/>
      <c r="H87" s="357"/>
      <c r="I87" s="357"/>
      <c r="J87" s="357"/>
      <c r="K87" s="357"/>
      <c r="L87" s="357"/>
      <c r="M87" s="357"/>
      <c r="N87" s="357"/>
      <c r="O87" s="357"/>
      <c r="P87" s="357"/>
      <c r="Q87" s="357"/>
      <c r="R87" s="357"/>
      <c r="S87" s="357"/>
      <c r="T87" s="357"/>
      <c r="U87" s="357"/>
      <c r="V87" s="357"/>
      <c r="W87" s="359"/>
      <c r="X87" s="436"/>
      <c r="Y87" s="358"/>
      <c r="Z87" s="360">
        <f>+Y87+W87</f>
        <v>0</v>
      </c>
    </row>
    <row r="88" spans="1:31" ht="12.75">
      <c r="A88" s="436" t="s">
        <v>1178</v>
      </c>
      <c r="B88" s="357">
        <v>0</v>
      </c>
      <c r="C88" s="357">
        <f>-'bs'!E74/1000</f>
        <v>2411.598</v>
      </c>
      <c r="D88" s="357">
        <f>-'bs'!F74/1000-D55</f>
        <v>0</v>
      </c>
      <c r="E88" s="357">
        <v>0</v>
      </c>
      <c r="F88" s="357">
        <v>0</v>
      </c>
      <c r="G88" s="357">
        <v>0</v>
      </c>
      <c r="H88" s="357">
        <v>0</v>
      </c>
      <c r="I88" s="357">
        <v>0</v>
      </c>
      <c r="J88" s="357"/>
      <c r="K88" s="357">
        <f>-'bs'!Q74/1000-K55</f>
        <v>4930</v>
      </c>
      <c r="L88" s="357"/>
      <c r="M88" s="357">
        <v>0</v>
      </c>
      <c r="N88" s="357">
        <v>0</v>
      </c>
      <c r="O88" s="357">
        <v>0</v>
      </c>
      <c r="P88" s="357">
        <v>0</v>
      </c>
      <c r="Q88" s="357">
        <v>0</v>
      </c>
      <c r="R88" s="357">
        <v>0</v>
      </c>
      <c r="S88" s="357">
        <v>0</v>
      </c>
      <c r="T88" s="357"/>
      <c r="U88" s="357">
        <v>0</v>
      </c>
      <c r="V88" s="357">
        <v>0</v>
      </c>
      <c r="W88" s="359">
        <f>SUM(B88:V88)</f>
        <v>7341.598</v>
      </c>
      <c r="X88" s="436"/>
      <c r="Y88" s="358"/>
      <c r="Z88" s="360">
        <f>+Y88+W88</f>
        <v>7341.598</v>
      </c>
      <c r="AD88" s="366">
        <v>7626.598</v>
      </c>
      <c r="AE88" s="362">
        <f t="shared" si="15"/>
        <v>-285</v>
      </c>
    </row>
    <row r="89" spans="1:31" ht="12.75">
      <c r="A89" s="436" t="s">
        <v>1186</v>
      </c>
      <c r="B89" s="357">
        <v>0</v>
      </c>
      <c r="C89" s="357">
        <v>0</v>
      </c>
      <c r="D89" s="357">
        <v>0</v>
      </c>
      <c r="E89" s="357">
        <v>0</v>
      </c>
      <c r="F89" s="357">
        <v>0</v>
      </c>
      <c r="G89" s="357">
        <v>0</v>
      </c>
      <c r="H89" s="357">
        <v>0</v>
      </c>
      <c r="I89" s="357">
        <v>0</v>
      </c>
      <c r="J89" s="357"/>
      <c r="K89" s="357">
        <v>0</v>
      </c>
      <c r="L89" s="357"/>
      <c r="M89" s="357">
        <v>0</v>
      </c>
      <c r="N89" s="357">
        <v>0</v>
      </c>
      <c r="O89" s="357">
        <v>0</v>
      </c>
      <c r="P89" s="357">
        <v>0</v>
      </c>
      <c r="Q89" s="357">
        <v>0</v>
      </c>
      <c r="R89" s="357">
        <v>0</v>
      </c>
      <c r="S89" s="357">
        <v>0</v>
      </c>
      <c r="T89" s="357"/>
      <c r="U89" s="357">
        <v>0</v>
      </c>
      <c r="V89" s="357">
        <v>0</v>
      </c>
      <c r="W89" s="359">
        <f>SUM(B89:V89)</f>
        <v>0</v>
      </c>
      <c r="X89" s="436"/>
      <c r="Y89" s="358"/>
      <c r="Z89" s="360">
        <f>+Y89+W89</f>
        <v>0</v>
      </c>
      <c r="AD89" s="366">
        <v>0</v>
      </c>
      <c r="AE89" s="362">
        <f t="shared" si="15"/>
        <v>0</v>
      </c>
    </row>
    <row r="90" spans="1:31" ht="12.75">
      <c r="A90" s="436" t="s">
        <v>349</v>
      </c>
      <c r="B90" s="357">
        <v>0</v>
      </c>
      <c r="C90" s="357">
        <v>0</v>
      </c>
      <c r="D90" s="357">
        <v>0</v>
      </c>
      <c r="E90" s="357">
        <f>-'bs'!G73/1000</f>
        <v>0</v>
      </c>
      <c r="F90" s="357">
        <v>0</v>
      </c>
      <c r="G90" s="357">
        <v>0</v>
      </c>
      <c r="H90" s="357">
        <v>0</v>
      </c>
      <c r="I90" s="357">
        <v>0</v>
      </c>
      <c r="J90" s="357"/>
      <c r="K90" s="357">
        <v>0</v>
      </c>
      <c r="L90" s="357"/>
      <c r="M90" s="357">
        <f>-'bs'!N73/1000</f>
        <v>0</v>
      </c>
      <c r="N90" s="357">
        <f>-'bs'!O73/1000</f>
        <v>1383</v>
      </c>
      <c r="O90" s="357">
        <v>0</v>
      </c>
      <c r="P90" s="357">
        <v>0</v>
      </c>
      <c r="Q90" s="357">
        <v>0</v>
      </c>
      <c r="R90" s="357">
        <v>0</v>
      </c>
      <c r="S90" s="357">
        <v>0</v>
      </c>
      <c r="T90" s="357"/>
      <c r="U90" s="357">
        <v>0</v>
      </c>
      <c r="V90" s="357">
        <v>0</v>
      </c>
      <c r="W90" s="359">
        <f>SUM(B90:V90)</f>
        <v>1383</v>
      </c>
      <c r="X90" s="436" t="str">
        <f>+je!A94</f>
        <v>CJE 12</v>
      </c>
      <c r="Y90" s="358">
        <f>-je!M95/1000</f>
        <v>0</v>
      </c>
      <c r="Z90" s="360">
        <f>+Y90+W90+Y91</f>
        <v>1383</v>
      </c>
      <c r="AA90" s="362">
        <f>Z59+Z88+Z90</f>
        <v>33231.129100000006</v>
      </c>
      <c r="AD90" s="366">
        <v>1342</v>
      </c>
      <c r="AE90" s="362">
        <f t="shared" si="15"/>
        <v>41</v>
      </c>
    </row>
    <row r="91" spans="1:31" ht="12.75" hidden="1">
      <c r="A91" s="436"/>
      <c r="B91" s="357"/>
      <c r="C91" s="357"/>
      <c r="D91" s="357"/>
      <c r="E91" s="357"/>
      <c r="F91" s="357"/>
      <c r="G91" s="357"/>
      <c r="H91" s="357"/>
      <c r="I91" s="357"/>
      <c r="J91" s="357"/>
      <c r="K91" s="357"/>
      <c r="L91" s="357"/>
      <c r="M91" s="357"/>
      <c r="N91" s="357"/>
      <c r="O91" s="357"/>
      <c r="P91" s="357"/>
      <c r="Q91" s="357"/>
      <c r="R91" s="357"/>
      <c r="S91" s="357"/>
      <c r="T91" s="357"/>
      <c r="U91" s="357"/>
      <c r="V91" s="357"/>
      <c r="W91" s="359"/>
      <c r="X91" s="436"/>
      <c r="Y91" s="358"/>
      <c r="Z91" s="360"/>
      <c r="AE91" s="362">
        <f t="shared" si="15"/>
        <v>0</v>
      </c>
    </row>
    <row r="92" spans="1:26" ht="13.5" thickBot="1">
      <c r="A92" s="436"/>
      <c r="B92" s="927"/>
      <c r="C92" s="927"/>
      <c r="D92" s="927"/>
      <c r="E92" s="927"/>
      <c r="F92" s="927"/>
      <c r="G92" s="927"/>
      <c r="H92" s="927"/>
      <c r="I92" s="927"/>
      <c r="J92" s="927"/>
      <c r="K92" s="927"/>
      <c r="L92" s="927"/>
      <c r="M92" s="927"/>
      <c r="N92" s="927"/>
      <c r="O92" s="927"/>
      <c r="P92" s="927"/>
      <c r="Q92" s="927"/>
      <c r="R92" s="927"/>
      <c r="S92" s="927"/>
      <c r="T92" s="927"/>
      <c r="U92" s="927"/>
      <c r="V92" s="927"/>
      <c r="W92" s="733"/>
      <c r="X92" s="928"/>
      <c r="Y92" s="929"/>
      <c r="Z92" s="932"/>
    </row>
    <row r="93" spans="1:31" ht="13.5" thickBot="1">
      <c r="A93" s="436"/>
      <c r="B93" s="933">
        <f aca="true" t="shared" si="16" ref="B93:G93">SUM(B82:B91)</f>
        <v>-2558.697000000002</v>
      </c>
      <c r="C93" s="933">
        <f>SUM(C82:C91)</f>
        <v>3637.797999999999</v>
      </c>
      <c r="D93" s="933">
        <f t="shared" si="16"/>
        <v>-1201.7039999999995</v>
      </c>
      <c r="E93" s="933">
        <f>SUM(E82:E91)</f>
        <v>12.07899999999995</v>
      </c>
      <c r="F93" s="933">
        <f>SUM(F82:F92)</f>
        <v>83.00099999999975</v>
      </c>
      <c r="G93" s="933">
        <f t="shared" si="16"/>
        <v>-4.2500000000009095</v>
      </c>
      <c r="H93" s="933">
        <f>SUM(H82:H91)</f>
        <v>647.2700000000002</v>
      </c>
      <c r="I93" s="933">
        <f>SUM(I82:I91)</f>
        <v>-724.4560000000001</v>
      </c>
      <c r="J93" s="933"/>
      <c r="K93" s="933">
        <f>SUM(K82:K91)</f>
        <v>84468.99299999999</v>
      </c>
      <c r="L93" s="933"/>
      <c r="M93" s="933">
        <f>SUM(M82:M91)</f>
        <v>124289.34899999999</v>
      </c>
      <c r="N93" s="933">
        <f aca="true" t="shared" si="17" ref="N93:V93">SUM(N82:N91)</f>
        <v>23703.036000000004</v>
      </c>
      <c r="O93" s="933">
        <f t="shared" si="17"/>
        <v>74.76200000000001</v>
      </c>
      <c r="P93" s="933">
        <f t="shared" si="17"/>
        <v>27.291999999999966</v>
      </c>
      <c r="Q93" s="933">
        <f>SUM(Q82:Q92)</f>
        <v>3333.072</v>
      </c>
      <c r="R93" s="933">
        <f t="shared" si="17"/>
        <v>2189.8809999999994</v>
      </c>
      <c r="S93" s="933">
        <f t="shared" si="17"/>
        <v>1717.7606500000002</v>
      </c>
      <c r="T93" s="933">
        <f t="shared" si="17"/>
        <v>0</v>
      </c>
      <c r="U93" s="933">
        <f t="shared" si="17"/>
        <v>0</v>
      </c>
      <c r="V93" s="933">
        <f t="shared" si="17"/>
        <v>-0.673</v>
      </c>
      <c r="W93" s="934">
        <f>SUM(W82:W91)</f>
        <v>239694.51364999995</v>
      </c>
      <c r="X93" s="935"/>
      <c r="Y93" s="936">
        <f>SUM(Y82:Y91)</f>
        <v>-85054.5794</v>
      </c>
      <c r="Z93" s="937">
        <f>SUM(Z82:Z91)</f>
        <v>154639.93424999996</v>
      </c>
      <c r="AA93" s="938"/>
      <c r="AB93" s="938"/>
      <c r="AC93" s="938"/>
      <c r="AD93" s="939">
        <f>SUM(AD82:AD90)</f>
        <v>150223.35299999997</v>
      </c>
      <c r="AE93" s="938">
        <f t="shared" si="15"/>
        <v>4416.581249999988</v>
      </c>
    </row>
    <row r="94" spans="1:31" ht="12.75" hidden="1">
      <c r="A94" s="436"/>
      <c r="B94" s="747"/>
      <c r="C94" s="747"/>
      <c r="D94" s="747"/>
      <c r="E94" s="747"/>
      <c r="F94" s="781"/>
      <c r="G94" s="747"/>
      <c r="H94" s="747"/>
      <c r="I94" s="747"/>
      <c r="J94" s="747"/>
      <c r="K94" s="747"/>
      <c r="L94" s="747"/>
      <c r="M94" s="747"/>
      <c r="N94" s="747"/>
      <c r="O94" s="747"/>
      <c r="P94" s="747"/>
      <c r="Q94" s="747"/>
      <c r="R94" s="747"/>
      <c r="S94" s="940"/>
      <c r="T94" s="940"/>
      <c r="U94" s="940"/>
      <c r="V94" s="747"/>
      <c r="W94" s="663"/>
      <c r="X94" s="664"/>
      <c r="Y94" s="665"/>
      <c r="Z94" s="564"/>
      <c r="AE94" s="362">
        <f t="shared" si="15"/>
        <v>0</v>
      </c>
    </row>
    <row r="95" spans="1:31" ht="12.75">
      <c r="A95" s="436"/>
      <c r="B95" s="357">
        <f aca="true" t="shared" si="18" ref="B95:I95">B64-B93</f>
        <v>0</v>
      </c>
      <c r="C95" s="357">
        <f t="shared" si="18"/>
        <v>0</v>
      </c>
      <c r="D95" s="357">
        <f t="shared" si="18"/>
        <v>0</v>
      </c>
      <c r="E95" s="357">
        <f t="shared" si="18"/>
        <v>4.973799150320701E-14</v>
      </c>
      <c r="F95" s="357">
        <f t="shared" si="18"/>
        <v>2.7000623958883807E-13</v>
      </c>
      <c r="G95" s="357">
        <f t="shared" si="18"/>
        <v>9.112710586123285E-13</v>
      </c>
      <c r="H95" s="357">
        <f t="shared" si="18"/>
        <v>0</v>
      </c>
      <c r="I95" s="357">
        <f t="shared" si="18"/>
        <v>0</v>
      </c>
      <c r="J95" s="357"/>
      <c r="K95" s="357">
        <f>K64-K93</f>
        <v>-0.0003099999885307625</v>
      </c>
      <c r="L95" s="357"/>
      <c r="M95" s="820">
        <f>M64-M93</f>
        <v>0</v>
      </c>
      <c r="N95" s="357">
        <f aca="true" t="shared" si="19" ref="N95:W95">N64-N93</f>
        <v>0</v>
      </c>
      <c r="O95" s="357">
        <f t="shared" si="19"/>
        <v>0</v>
      </c>
      <c r="P95" s="357">
        <f t="shared" si="19"/>
        <v>3.197442310920451E-14</v>
      </c>
      <c r="Q95" s="357">
        <f t="shared" si="19"/>
        <v>0</v>
      </c>
      <c r="R95" s="357">
        <f t="shared" si="19"/>
        <v>0</v>
      </c>
      <c r="S95" s="357">
        <f t="shared" si="19"/>
        <v>0.000349999999798456</v>
      </c>
      <c r="T95" s="357">
        <f t="shared" si="19"/>
        <v>0</v>
      </c>
      <c r="U95" s="357">
        <f t="shared" si="19"/>
        <v>0</v>
      </c>
      <c r="V95" s="357">
        <f t="shared" si="19"/>
        <v>0</v>
      </c>
      <c r="W95" s="359">
        <f t="shared" si="19"/>
        <v>4.000007174909115E-05</v>
      </c>
      <c r="X95" s="436"/>
      <c r="Y95" s="358">
        <f>Y64-Y93</f>
        <v>0</v>
      </c>
      <c r="Z95" s="360">
        <f>Z64-Z93</f>
        <v>4.000004264526069E-05</v>
      </c>
      <c r="AD95" s="366">
        <v>8.000005618669093E-05</v>
      </c>
      <c r="AE95" s="362">
        <f t="shared" si="15"/>
        <v>-4.0000013541430235E-05</v>
      </c>
    </row>
    <row r="96" spans="1:31" ht="12.75" hidden="1">
      <c r="A96" s="436"/>
      <c r="B96" s="357"/>
      <c r="C96" s="357"/>
      <c r="D96" s="357"/>
      <c r="E96" s="357"/>
      <c r="F96" s="357"/>
      <c r="G96" s="357"/>
      <c r="H96" s="357"/>
      <c r="I96" s="357"/>
      <c r="J96" s="357"/>
      <c r="K96" s="357"/>
      <c r="L96" s="357"/>
      <c r="M96" s="357"/>
      <c r="N96" s="357"/>
      <c r="O96" s="357"/>
      <c r="P96" s="357"/>
      <c r="Q96" s="357"/>
      <c r="R96" s="357"/>
      <c r="S96" s="357"/>
      <c r="T96" s="357"/>
      <c r="U96" s="357"/>
      <c r="V96" s="357"/>
      <c r="W96" s="359"/>
      <c r="X96" s="436"/>
      <c r="Y96" s="358"/>
      <c r="Z96" s="360"/>
      <c r="AE96" s="362">
        <f t="shared" si="15"/>
        <v>0</v>
      </c>
    </row>
    <row r="97" spans="1:26" ht="12.75">
      <c r="A97" s="666"/>
      <c r="B97" s="361"/>
      <c r="C97" s="361"/>
      <c r="D97" s="361"/>
      <c r="E97" s="361"/>
      <c r="F97" s="361"/>
      <c r="G97" s="361"/>
      <c r="H97" s="361"/>
      <c r="I97" s="361"/>
      <c r="J97" s="361"/>
      <c r="K97" s="361"/>
      <c r="L97" s="361"/>
      <c r="M97" s="361"/>
      <c r="N97" s="361"/>
      <c r="O97" s="361"/>
      <c r="P97" s="361"/>
      <c r="Q97" s="361"/>
      <c r="R97" s="361"/>
      <c r="S97" s="361"/>
      <c r="T97" s="361"/>
      <c r="U97" s="361"/>
      <c r="V97" s="361"/>
      <c r="W97" s="361"/>
      <c r="X97" s="666"/>
      <c r="Y97" s="361"/>
      <c r="Z97" s="535"/>
    </row>
    <row r="98" spans="1:31" ht="12.75">
      <c r="A98" s="649" t="s">
        <v>871</v>
      </c>
      <c r="B98" s="366">
        <f aca="true" t="shared" si="20" ref="B98:V98">+B64+B59</f>
        <v>372.43499999999995</v>
      </c>
      <c r="C98" s="366">
        <f t="shared" si="20"/>
        <v>5526.998</v>
      </c>
      <c r="D98" s="366">
        <f t="shared" si="20"/>
        <v>1938.645</v>
      </c>
      <c r="E98" s="366">
        <f t="shared" si="20"/>
        <v>31.068</v>
      </c>
      <c r="F98" s="366">
        <f t="shared" si="20"/>
        <v>84.13100000000001</v>
      </c>
      <c r="G98" s="366">
        <f t="shared" si="20"/>
        <v>32.2541</v>
      </c>
      <c r="H98" s="366">
        <f t="shared" si="20"/>
        <v>661.475</v>
      </c>
      <c r="I98" s="366">
        <f t="shared" si="20"/>
        <v>1521.487</v>
      </c>
      <c r="J98" s="366">
        <f t="shared" si="20"/>
        <v>0</v>
      </c>
      <c r="K98" s="366">
        <f t="shared" si="20"/>
        <v>87534.70369</v>
      </c>
      <c r="L98" s="366">
        <f t="shared" si="20"/>
        <v>0</v>
      </c>
      <c r="M98" s="366">
        <f t="shared" si="20"/>
        <v>142235.80299999999</v>
      </c>
      <c r="N98" s="366">
        <f t="shared" si="20"/>
        <v>26196.211</v>
      </c>
      <c r="O98" s="366">
        <f t="shared" si="20"/>
        <v>75.262</v>
      </c>
      <c r="P98" s="366">
        <f t="shared" si="20"/>
        <v>29.011</v>
      </c>
      <c r="Q98" s="366">
        <f t="shared" si="20"/>
        <v>3345.009</v>
      </c>
      <c r="R98" s="366">
        <f t="shared" si="20"/>
        <v>2694.063</v>
      </c>
      <c r="S98" s="366">
        <f t="shared" si="20"/>
        <v>2034.7939999999999</v>
      </c>
      <c r="T98" s="366">
        <f t="shared" si="20"/>
        <v>0</v>
      </c>
      <c r="U98" s="366">
        <f t="shared" si="20"/>
        <v>0</v>
      </c>
      <c r="V98" s="366">
        <f t="shared" si="20"/>
        <v>0.0020000000000000018</v>
      </c>
      <c r="W98" s="366">
        <f>+W64+W59</f>
        <v>274313.35179</v>
      </c>
      <c r="Z98" s="366">
        <f>+Z64+Z59</f>
        <v>179146.46539</v>
      </c>
      <c r="AD98" s="366">
        <v>178987.32702000003</v>
      </c>
      <c r="AE98" s="362">
        <f t="shared" si="15"/>
        <v>159.13836999997147</v>
      </c>
    </row>
    <row r="99" ht="12.75" hidden="1">
      <c r="AE99" s="362">
        <f t="shared" si="15"/>
        <v>0</v>
      </c>
    </row>
    <row r="100" spans="1:31" ht="12.75">
      <c r="A100" s="541" t="s">
        <v>1292</v>
      </c>
      <c r="Z100" s="366">
        <f>W76-je!L233/1000</f>
        <v>376.68799999999464</v>
      </c>
      <c r="AA100" s="362">
        <f>+Z100-Z76</f>
        <v>0</v>
      </c>
      <c r="AD100" s="366">
        <v>376.68899999999985</v>
      </c>
      <c r="AE100" s="362">
        <f t="shared" si="15"/>
        <v>-0.0010000000052059477</v>
      </c>
    </row>
    <row r="101" spans="1:31" ht="12.75">
      <c r="A101" s="541" t="s">
        <v>1291</v>
      </c>
      <c r="Z101" s="366">
        <f>+(FJK!H62-FJK!K62+FJK!H88+je!C118+je!C119+je!C120)/1000</f>
        <v>1601.125</v>
      </c>
      <c r="AA101" s="362">
        <f>+Z101-Z77</f>
        <v>509.3409999999999</v>
      </c>
      <c r="AD101" s="366">
        <v>582.443</v>
      </c>
      <c r="AE101" s="362">
        <f t="shared" si="15"/>
        <v>1018.682</v>
      </c>
    </row>
    <row r="102" spans="1:31" ht="12.75">
      <c r="A102" s="541" t="s">
        <v>885</v>
      </c>
      <c r="Z102" s="366">
        <f>-je!K233/1000</f>
        <v>2084.46</v>
      </c>
      <c r="AA102" s="362">
        <f>+Z102-Z78</f>
        <v>0</v>
      </c>
      <c r="AD102" s="366">
        <v>349.482</v>
      </c>
      <c r="AE102" s="362">
        <f t="shared" si="15"/>
        <v>1734.978</v>
      </c>
    </row>
    <row r="103" spans="11:31" ht="13.5" thickBot="1">
      <c r="K103" s="750"/>
      <c r="U103" s="741"/>
      <c r="Z103" s="536">
        <f>SUM(Z100:Z102)</f>
        <v>4062.2729999999947</v>
      </c>
      <c r="AD103" s="366">
        <v>1308.6139999999998</v>
      </c>
      <c r="AE103" s="362">
        <f t="shared" si="15"/>
        <v>2753.658999999995</v>
      </c>
    </row>
    <row r="104" ht="13.5" hidden="1" thickTop="1">
      <c r="A104" s="841" t="s">
        <v>1330</v>
      </c>
    </row>
    <row r="105" spans="1:6" ht="12.75" hidden="1">
      <c r="A105" s="841"/>
      <c r="E105" s="814" t="s">
        <v>521</v>
      </c>
      <c r="F105" s="814" t="s">
        <v>521</v>
      </c>
    </row>
    <row r="106" spans="1:6" ht="12.75" hidden="1">
      <c r="A106" s="841" t="s">
        <v>1108</v>
      </c>
      <c r="F106" s="814"/>
    </row>
    <row r="107" spans="1:6" ht="12.75" hidden="1">
      <c r="A107" s="841" t="s">
        <v>318</v>
      </c>
      <c r="F107" s="814"/>
    </row>
    <row r="108" spans="1:6" ht="12.75" hidden="1">
      <c r="A108" s="541" t="s">
        <v>1109</v>
      </c>
      <c r="E108" s="845">
        <f>22419.61-E109</f>
        <v>21719.609</v>
      </c>
      <c r="F108" s="850"/>
    </row>
    <row r="109" spans="1:6" ht="12.75" hidden="1">
      <c r="A109" s="541" t="s">
        <v>1110</v>
      </c>
      <c r="E109" s="845">
        <v>700.001</v>
      </c>
      <c r="F109" s="850"/>
    </row>
    <row r="110" spans="1:6" ht="12.75" hidden="1">
      <c r="A110" s="841"/>
      <c r="E110" s="847">
        <f>SUM(E108:E109)</f>
        <v>22419.61</v>
      </c>
      <c r="F110" s="850"/>
    </row>
    <row r="111" spans="1:6" ht="12.75" hidden="1">
      <c r="A111" s="541" t="s">
        <v>1111</v>
      </c>
      <c r="E111" s="845">
        <v>-17045.134</v>
      </c>
      <c r="F111" s="850"/>
    </row>
    <row r="112" spans="1:6" ht="12.75" hidden="1">
      <c r="A112" s="841"/>
      <c r="E112" s="847"/>
      <c r="F112" s="851">
        <f>SUM(E110:E111)</f>
        <v>5374.476000000002</v>
      </c>
    </row>
    <row r="113" spans="1:6" ht="12.75" hidden="1">
      <c r="A113" s="841"/>
      <c r="E113" s="845"/>
      <c r="F113" s="850"/>
    </row>
    <row r="114" spans="1:6" ht="12.75" hidden="1">
      <c r="A114" s="541" t="s">
        <v>1112</v>
      </c>
      <c r="E114" s="845">
        <f>27800.612-E115</f>
        <v>27805.452</v>
      </c>
      <c r="F114" s="850"/>
    </row>
    <row r="115" spans="1:6" ht="12.75" hidden="1">
      <c r="A115" s="541" t="s">
        <v>1113</v>
      </c>
      <c r="E115" s="845">
        <v>-4.84</v>
      </c>
      <c r="F115" s="850"/>
    </row>
    <row r="116" spans="1:6" ht="12.75" hidden="1">
      <c r="A116" s="841"/>
      <c r="E116" s="847">
        <f>SUM(E114:E115)</f>
        <v>27800.612</v>
      </c>
      <c r="F116" s="850"/>
    </row>
    <row r="117" spans="1:6" ht="12.75" hidden="1">
      <c r="A117" s="541" t="s">
        <v>1114</v>
      </c>
      <c r="E117" s="845">
        <v>-33056.91</v>
      </c>
      <c r="F117" s="850"/>
    </row>
    <row r="118" spans="5:6" ht="12.75" hidden="1">
      <c r="E118" s="847"/>
      <c r="F118" s="851">
        <f>SUM(E116:E117)</f>
        <v>-5256.2980000000025</v>
      </c>
    </row>
    <row r="119" spans="5:6" ht="12.75" hidden="1">
      <c r="E119" s="845"/>
      <c r="F119" s="852">
        <f>SUM(F112:F118)</f>
        <v>118.17799999999988</v>
      </c>
    </row>
    <row r="120" spans="5:6" ht="12.75" hidden="1">
      <c r="E120" s="845"/>
      <c r="F120" s="854"/>
    </row>
    <row r="121" spans="1:6" ht="12.75" hidden="1">
      <c r="A121" s="841" t="s">
        <v>518</v>
      </c>
      <c r="E121" s="845"/>
      <c r="F121" s="854"/>
    </row>
    <row r="122" spans="1:6" ht="12.75" hidden="1">
      <c r="A122" s="541" t="s">
        <v>563</v>
      </c>
      <c r="E122" s="845">
        <f>+M15</f>
        <v>-4803.241</v>
      </c>
      <c r="F122" s="854"/>
    </row>
    <row r="123" spans="1:6" ht="12.75" hidden="1">
      <c r="A123" s="541" t="s">
        <v>775</v>
      </c>
      <c r="E123" s="845">
        <f>+M18</f>
        <v>1156</v>
      </c>
      <c r="F123" s="854"/>
    </row>
    <row r="124" spans="1:6" ht="12.75" hidden="1">
      <c r="A124" s="541" t="s">
        <v>776</v>
      </c>
      <c r="E124" s="845">
        <f>+M20</f>
        <v>754.876</v>
      </c>
      <c r="F124" s="854"/>
    </row>
    <row r="125" spans="5:6" ht="12.75" hidden="1">
      <c r="E125" s="847"/>
      <c r="F125" s="854">
        <f>SUM(E122:E124)</f>
        <v>-2892.365</v>
      </c>
    </row>
    <row r="126" spans="5:6" ht="12.75" hidden="1">
      <c r="E126" s="845"/>
      <c r="F126" s="854"/>
    </row>
    <row r="127" spans="1:6" ht="12.75" hidden="1">
      <c r="A127" s="841" t="s">
        <v>558</v>
      </c>
      <c r="E127" s="845"/>
      <c r="F127" s="854"/>
    </row>
    <row r="128" spans="1:6" ht="12.75" hidden="1">
      <c r="A128" s="541" t="s">
        <v>775</v>
      </c>
      <c r="E128" s="845"/>
      <c r="F128" s="854">
        <f>+R18</f>
        <v>2694.061</v>
      </c>
    </row>
    <row r="129" spans="5:6" ht="12.75" hidden="1">
      <c r="E129" s="845"/>
      <c r="F129" s="852">
        <f>SUM(F119:F128)</f>
        <v>-80.12599999999975</v>
      </c>
    </row>
    <row r="130" spans="1:6" ht="12.75" hidden="1">
      <c r="A130" s="541" t="s">
        <v>777</v>
      </c>
      <c r="E130" s="845"/>
      <c r="F130" s="851">
        <f>+Y15</f>
        <v>13997.631</v>
      </c>
    </row>
    <row r="131" spans="1:6" ht="12.75" hidden="1">
      <c r="A131" s="842" t="s">
        <v>778</v>
      </c>
      <c r="E131" s="845"/>
      <c r="F131" s="851">
        <f>+Y18</f>
        <v>-96540.49068999999</v>
      </c>
    </row>
    <row r="132" spans="5:6" ht="12.75" hidden="1">
      <c r="E132" s="845"/>
      <c r="F132" s="851">
        <f>+Y16</f>
        <v>-14.590000000000146</v>
      </c>
    </row>
    <row r="133" spans="1:6" ht="12.75" hidden="1">
      <c r="A133" s="842" t="s">
        <v>779</v>
      </c>
      <c r="E133" s="845"/>
      <c r="F133" s="851">
        <f>+Y20</f>
        <v>9126.518699999999</v>
      </c>
    </row>
    <row r="134" spans="5:6" ht="13.5" hidden="1" thickBot="1">
      <c r="E134" s="845"/>
      <c r="F134" s="853">
        <f>SUM(F129:F133)</f>
        <v>-73511.05698999998</v>
      </c>
    </row>
    <row r="135" spans="5:6" ht="13.5" hidden="1" thickTop="1">
      <c r="E135" s="845"/>
      <c r="F135" s="850"/>
    </row>
    <row r="136" spans="1:6" ht="12.75" hidden="1">
      <c r="A136" s="841"/>
      <c r="F136" s="814"/>
    </row>
    <row r="137" ht="12.75" hidden="1">
      <c r="A137" s="841" t="s">
        <v>1107</v>
      </c>
    </row>
    <row r="138" spans="1:6" ht="12.75" hidden="1">
      <c r="A138" s="541" t="s">
        <v>1338</v>
      </c>
      <c r="F138" s="845">
        <f>200*0.6</f>
        <v>120</v>
      </c>
    </row>
    <row r="139" spans="1:6" ht="12.75" hidden="1">
      <c r="A139" s="541" t="s">
        <v>1339</v>
      </c>
      <c r="F139" s="845">
        <f>200*0.4</f>
        <v>80</v>
      </c>
    </row>
    <row r="140" ht="13.5" hidden="1" thickBot="1">
      <c r="F140" s="846">
        <f>SUM(F138:F139)</f>
        <v>200</v>
      </c>
    </row>
    <row r="141" ht="13.5" hidden="1" thickTop="1">
      <c r="F141" s="845"/>
    </row>
    <row r="142" spans="1:26" ht="13.5" hidden="1" thickBot="1">
      <c r="A142" s="541" t="s">
        <v>1340</v>
      </c>
      <c r="F142" s="848">
        <f>+Z80</f>
        <v>0</v>
      </c>
      <c r="G142" s="845">
        <f>+F140-F142</f>
        <v>200</v>
      </c>
      <c r="X142" s="362"/>
      <c r="Z142" s="362"/>
    </row>
    <row r="143" ht="13.5" hidden="1" thickTop="1">
      <c r="F143" s="845"/>
    </row>
    <row r="144" ht="12.75" hidden="1">
      <c r="F144" s="845"/>
    </row>
    <row r="145" ht="12.75" hidden="1">
      <c r="F145" s="845"/>
    </row>
    <row r="146" ht="12.75" hidden="1">
      <c r="F146" s="845"/>
    </row>
    <row r="147" ht="12.75" hidden="1"/>
    <row r="148" ht="12.75" hidden="1"/>
    <row r="149" ht="12.75" hidden="1"/>
    <row r="150" ht="12.75" hidden="1"/>
    <row r="151" ht="12.75" hidden="1"/>
    <row r="152" ht="12.75" hidden="1"/>
    <row r="153" ht="12.75" hidden="1"/>
    <row r="154" ht="12.75" hidden="1"/>
    <row r="155" spans="4:9" ht="13.5" thickTop="1">
      <c r="D155" s="362">
        <f>'[7]B. Sheet'!$D$70+'[7]B. Sheet'!$D$71</f>
        <v>-8987.589</v>
      </c>
      <c r="H155" s="362">
        <f>'[7]B. Sheet'!$H$70+'[7]B. Sheet'!$H$71</f>
        <v>-3425.27</v>
      </c>
      <c r="I155" s="362">
        <f>'[7]B. Sheet'!$I$70+'[7]B. Sheet'!$I$71</f>
        <v>362.89799999999997</v>
      </c>
    </row>
    <row r="156" spans="4:9" ht="12.75">
      <c r="D156" s="362">
        <f>D71-D155</f>
        <v>-364.6849999999995</v>
      </c>
      <c r="H156" s="362">
        <f>H71-H155</f>
        <v>0.0010000000002037268</v>
      </c>
      <c r="I156" s="362">
        <f>I71-I155</f>
        <v>-1084.489</v>
      </c>
    </row>
  </sheetData>
  <mergeCells count="1">
    <mergeCell ref="X4:Y4"/>
  </mergeCells>
  <printOptions horizontalCentered="1" verticalCentered="1"/>
  <pageMargins left="0.25" right="0" top="0.5" bottom="0" header="0" footer="0"/>
  <pageSetup horizontalDpi="300" verticalDpi="300" orientation="landscape" paperSize="9" scale="38" r:id="rId3"/>
  <headerFooter alignWithMargins="0">
    <oddHeader>&amp;R&amp;D  &amp;T</oddHeader>
  </headerFooter>
  <legacyDrawing r:id="rId2"/>
</worksheet>
</file>

<file path=xl/worksheets/sheet19.xml><?xml version="1.0" encoding="utf-8"?>
<worksheet xmlns="http://schemas.openxmlformats.org/spreadsheetml/2006/main" xmlns:r="http://schemas.openxmlformats.org/officeDocument/2006/relationships">
  <dimension ref="A1:M92"/>
  <sheetViews>
    <sheetView zoomScale="60" zoomScaleNormal="60" workbookViewId="0" topLeftCell="A55">
      <selection activeCell="D81" sqref="D81"/>
    </sheetView>
  </sheetViews>
  <sheetFormatPr defaultColWidth="9.140625" defaultRowHeight="12.75"/>
  <cols>
    <col min="1" max="1" width="4.7109375" style="9" customWidth="1"/>
    <col min="2" max="2" width="41.57421875" style="2" customWidth="1"/>
    <col min="3" max="3" width="17.7109375" style="2" customWidth="1"/>
    <col min="4" max="4" width="17.140625" style="2" customWidth="1"/>
    <col min="5" max="5" width="18.421875" style="2" bestFit="1" customWidth="1"/>
    <col min="6" max="6" width="14.421875" style="2" bestFit="1" customWidth="1"/>
    <col min="7" max="7" width="3.7109375" style="2" customWidth="1"/>
    <col min="8" max="8" width="12.00390625" style="2" bestFit="1" customWidth="1"/>
    <col min="9" max="11" width="8.8515625" style="2" customWidth="1"/>
    <col min="12" max="12" width="11.140625" style="2" bestFit="1" customWidth="1"/>
    <col min="13" max="16384" width="8.8515625" style="2" customWidth="1"/>
  </cols>
  <sheetData>
    <row r="1" ht="12.75">
      <c r="A1" s="199" t="s">
        <v>1433</v>
      </c>
    </row>
    <row r="2" ht="12.75"/>
    <row r="3" spans="1:2" ht="12.75">
      <c r="A3" s="62" t="s">
        <v>1439</v>
      </c>
      <c r="B3" s="60" t="s">
        <v>1442</v>
      </c>
    </row>
    <row r="4" ht="12.75">
      <c r="A4" s="62"/>
    </row>
    <row r="5" spans="2:8" ht="38.25">
      <c r="B5" s="203"/>
      <c r="C5" s="204" t="s">
        <v>90</v>
      </c>
      <c r="D5" s="204" t="s">
        <v>39</v>
      </c>
      <c r="E5" s="204" t="s">
        <v>1443</v>
      </c>
      <c r="F5" s="204" t="s">
        <v>1170</v>
      </c>
      <c r="H5" s="204" t="s">
        <v>1446</v>
      </c>
    </row>
    <row r="6" spans="2:8" ht="12.75">
      <c r="B6" s="33" t="s">
        <v>318</v>
      </c>
      <c r="C6" s="277">
        <v>6610000</v>
      </c>
      <c r="D6" s="277">
        <v>0</v>
      </c>
      <c r="E6" s="39">
        <f>+C6+D6-F6</f>
        <v>840000</v>
      </c>
      <c r="F6" s="39">
        <f>+'B. Sheet'!K55*1000+'B. Sheet'!K88*1000</f>
        <v>5770000</v>
      </c>
      <c r="H6" s="193">
        <v>70000</v>
      </c>
    </row>
    <row r="7" spans="2:8" ht="12.75">
      <c r="B7" s="33" t="s">
        <v>320</v>
      </c>
      <c r="C7" s="277">
        <v>29970</v>
      </c>
      <c r="D7" s="277">
        <v>0</v>
      </c>
      <c r="E7" s="39">
        <f>+C7+D7-F7</f>
        <v>29970</v>
      </c>
      <c r="F7" s="39">
        <f>+'B. Sheet'!D88*1000+'B. Sheet'!D55*1000</f>
        <v>0</v>
      </c>
      <c r="H7" s="39">
        <f>2593.77</f>
        <v>2593.77</v>
      </c>
    </row>
    <row r="8" spans="2:8" ht="12.75">
      <c r="B8" s="33" t="s">
        <v>331</v>
      </c>
      <c r="C8" s="277">
        <v>2986597.64</v>
      </c>
      <c r="D8" s="277">
        <v>0</v>
      </c>
      <c r="E8" s="39">
        <f>+C8+D8-F8</f>
        <v>574999.6400000001</v>
      </c>
      <c r="F8" s="39">
        <f>+'B. Sheet'!C88*1000+'B. Sheet'!C54*1000</f>
        <v>2411598</v>
      </c>
      <c r="H8" s="39">
        <f>25000</f>
        <v>25000</v>
      </c>
    </row>
    <row r="9" spans="2:8" ht="12.75">
      <c r="B9" s="29" t="s">
        <v>1444</v>
      </c>
      <c r="C9" s="168">
        <f>SUM(C6:C8)</f>
        <v>9626567.64</v>
      </c>
      <c r="D9" s="168">
        <f>SUM(D6:D8)</f>
        <v>0</v>
      </c>
      <c r="E9" s="205">
        <f>SUM(E6:E8)</f>
        <v>1444969.6400000001</v>
      </c>
      <c r="F9" s="168">
        <f>SUM(F6:F8)</f>
        <v>8181598</v>
      </c>
      <c r="H9" s="169">
        <f>SUM(H6:H8)</f>
        <v>97593.77</v>
      </c>
    </row>
    <row r="12" spans="1:2" ht="12.75">
      <c r="A12" s="62" t="s">
        <v>1463</v>
      </c>
      <c r="B12" s="60" t="s">
        <v>1464</v>
      </c>
    </row>
    <row r="14" spans="3:4" ht="25.5">
      <c r="C14" s="9" t="s">
        <v>1466</v>
      </c>
      <c r="D14" s="202" t="s">
        <v>1465</v>
      </c>
    </row>
    <row r="15" spans="3:4" ht="12.75">
      <c r="C15" s="9" t="s">
        <v>521</v>
      </c>
      <c r="D15" s="9" t="s">
        <v>521</v>
      </c>
    </row>
    <row r="16" spans="2:4" ht="12.75">
      <c r="B16" s="2" t="s">
        <v>612</v>
      </c>
      <c r="C16" s="18">
        <f>ROUND(+segYTD!E28,0)+1</f>
        <v>213505</v>
      </c>
      <c r="D16" s="18">
        <f>+ROUND(segYTD!J28,0)+1</f>
        <v>20300</v>
      </c>
    </row>
    <row r="17" spans="2:4" ht="12.75">
      <c r="B17" s="2" t="s">
        <v>613</v>
      </c>
      <c r="C17" s="18">
        <f>ROUND(+segYTD!E46,0)</f>
        <v>1057</v>
      </c>
      <c r="D17" s="18">
        <f>ROUND(segYTD!J46,0)</f>
        <v>1264</v>
      </c>
    </row>
    <row r="18" spans="2:4" ht="12.75">
      <c r="B18" s="2" t="s">
        <v>872</v>
      </c>
      <c r="C18" s="18">
        <f>ROUND(+segYTD!E63,0)</f>
        <v>1166</v>
      </c>
      <c r="D18" s="18">
        <f>ROUND(segYTD!J63,0)</f>
        <v>1717</v>
      </c>
    </row>
    <row r="19" spans="3:4" ht="12.75">
      <c r="C19" s="182">
        <f>SUM(C16:C18)</f>
        <v>215728</v>
      </c>
      <c r="D19" s="182">
        <f>SUM(D16:D18)</f>
        <v>23281</v>
      </c>
    </row>
    <row r="20" spans="2:4" ht="12.75">
      <c r="B20" s="2" t="s">
        <v>873</v>
      </c>
      <c r="C20" s="18">
        <f>ROUND(+segYTD!E67,0)</f>
        <v>0</v>
      </c>
      <c r="D20" s="18">
        <f>+ROUND(segYTD!J67,0)</f>
        <v>1280</v>
      </c>
    </row>
    <row r="21" spans="3:6" ht="12.75">
      <c r="C21" s="184">
        <f>SUM(C19:C20)</f>
        <v>215728</v>
      </c>
      <c r="D21" s="184">
        <f>SUM(D19:D20)</f>
        <v>24561</v>
      </c>
      <c r="F21" s="166"/>
    </row>
    <row r="22" ht="12.75">
      <c r="F22" s="166"/>
    </row>
    <row r="23" spans="1:2" ht="12.75">
      <c r="A23" s="62" t="s">
        <v>1445</v>
      </c>
      <c r="B23" s="60" t="s">
        <v>829</v>
      </c>
    </row>
    <row r="24" spans="3:4" ht="12.75">
      <c r="C24" s="9" t="s">
        <v>1449</v>
      </c>
      <c r="D24" s="9" t="s">
        <v>1447</v>
      </c>
    </row>
    <row r="25" spans="3:4" ht="12.75">
      <c r="C25" s="9" t="s">
        <v>70</v>
      </c>
      <c r="D25" s="9" t="s">
        <v>1448</v>
      </c>
    </row>
    <row r="26" spans="3:4" ht="12.75">
      <c r="C26" s="1021" t="s">
        <v>1171</v>
      </c>
      <c r="D26" s="314" t="str">
        <f>+C26</f>
        <v>31/01/07</v>
      </c>
    </row>
    <row r="27" spans="3:4" ht="12.75">
      <c r="C27" s="9" t="s">
        <v>521</v>
      </c>
      <c r="D27" s="9" t="s">
        <v>521</v>
      </c>
    </row>
    <row r="29" spans="2:4" ht="12.75">
      <c r="B29" s="12" t="s">
        <v>1493</v>
      </c>
      <c r="C29" s="860">
        <f>+D29</f>
        <v>-477.393</v>
      </c>
      <c r="D29" s="860">
        <f>-(456.873+20.52)</f>
        <v>-477.393</v>
      </c>
    </row>
    <row r="30" spans="2:4" ht="12.75">
      <c r="B30" s="12" t="s">
        <v>1450</v>
      </c>
      <c r="C30" s="18">
        <f>+C32-C31-C29</f>
        <v>1174.933</v>
      </c>
      <c r="D30" s="882">
        <f>+D32-D31-D29</f>
        <v>3804.989</v>
      </c>
    </row>
    <row r="31" spans="2:4" ht="12.75">
      <c r="B31" s="12" t="s">
        <v>1451</v>
      </c>
      <c r="C31" s="160">
        <v>41</v>
      </c>
      <c r="D31" s="18">
        <v>41</v>
      </c>
    </row>
    <row r="32" spans="3:4" ht="12.75">
      <c r="C32" s="206">
        <f>-+'P&amp;L'!AA76</f>
        <v>738.54</v>
      </c>
      <c r="D32" s="206">
        <f>-+'P&amp;L'!Y76</f>
        <v>3368.596</v>
      </c>
    </row>
    <row r="35" spans="1:2" ht="12.75">
      <c r="A35" s="62" t="s">
        <v>1453</v>
      </c>
      <c r="B35" s="19" t="s">
        <v>1454</v>
      </c>
    </row>
    <row r="36" spans="1:2" ht="12.75">
      <c r="A36" s="62"/>
      <c r="B36" s="19"/>
    </row>
    <row r="37" ht="12.75">
      <c r="B37" s="65" t="s">
        <v>1455</v>
      </c>
    </row>
    <row r="39" ht="12.75">
      <c r="B39" s="174" t="s">
        <v>255</v>
      </c>
    </row>
    <row r="40" ht="12.75">
      <c r="B40" s="174"/>
    </row>
    <row r="42" ht="12.75">
      <c r="B42" s="65" t="s">
        <v>362</v>
      </c>
    </row>
    <row r="43" spans="10:13" ht="12.75">
      <c r="J43" s="23"/>
      <c r="K43" s="307"/>
      <c r="L43" s="304" t="s">
        <v>1081</v>
      </c>
      <c r="M43" s="305"/>
    </row>
    <row r="44" spans="2:13" ht="12.75">
      <c r="B44" s="23" t="s">
        <v>840</v>
      </c>
      <c r="C44" s="24"/>
      <c r="D44" s="24"/>
      <c r="E44" s="29" t="s">
        <v>521</v>
      </c>
      <c r="J44" s="306" t="s">
        <v>1080</v>
      </c>
      <c r="K44" s="311" t="s">
        <v>98</v>
      </c>
      <c r="L44" s="29" t="s">
        <v>96</v>
      </c>
      <c r="M44" s="29" t="s">
        <v>97</v>
      </c>
    </row>
    <row r="45" spans="2:13" ht="12.75">
      <c r="B45" s="27" t="s">
        <v>841</v>
      </c>
      <c r="C45" s="28"/>
      <c r="D45" s="28"/>
      <c r="E45" s="163">
        <v>5188</v>
      </c>
      <c r="H45" s="2" t="s">
        <v>1082</v>
      </c>
      <c r="J45" s="23">
        <v>4900</v>
      </c>
      <c r="K45" s="308">
        <v>564</v>
      </c>
      <c r="L45" s="33">
        <v>1410</v>
      </c>
      <c r="M45" s="33">
        <f>SUM(K45:L45)</f>
        <v>1974</v>
      </c>
    </row>
    <row r="46" spans="2:13" ht="12.75">
      <c r="B46" s="25" t="s">
        <v>847</v>
      </c>
      <c r="C46" s="26"/>
      <c r="D46" s="26"/>
      <c r="E46" s="164">
        <f>+'B. Sheet'!Z11</f>
        <v>2844.8</v>
      </c>
      <c r="H46" s="2" t="s">
        <v>1083</v>
      </c>
      <c r="J46" s="890">
        <v>0.71</v>
      </c>
      <c r="K46" s="309"/>
      <c r="L46" s="310"/>
      <c r="M46" s="891">
        <v>0.5</v>
      </c>
    </row>
    <row r="47" spans="2:13" ht="12.75">
      <c r="B47" s="25" t="s">
        <v>1172</v>
      </c>
      <c r="C47" s="26"/>
      <c r="D47" s="26"/>
      <c r="E47" s="163">
        <f>+J47+M47</f>
        <v>4466</v>
      </c>
      <c r="H47" s="2" t="s">
        <v>1086</v>
      </c>
      <c r="J47" s="27">
        <f>+J45*J46</f>
        <v>3479</v>
      </c>
      <c r="K47" s="312"/>
      <c r="L47" s="203"/>
      <c r="M47" s="203">
        <f>+M45*M46</f>
        <v>987</v>
      </c>
    </row>
    <row r="48" ht="12.75">
      <c r="J48" s="2" t="s">
        <v>274</v>
      </c>
    </row>
    <row r="50" spans="1:2" ht="12.75">
      <c r="A50" s="62" t="s">
        <v>1456</v>
      </c>
      <c r="B50" s="19" t="s">
        <v>1457</v>
      </c>
    </row>
    <row r="52" spans="2:4" ht="12.75">
      <c r="B52" s="32"/>
      <c r="C52" s="38" t="s">
        <v>1173</v>
      </c>
      <c r="D52" s="207"/>
    </row>
    <row r="53" spans="2:4" ht="12.75">
      <c r="B53" s="33"/>
      <c r="C53" s="210" t="s">
        <v>521</v>
      </c>
      <c r="D53" s="207"/>
    </row>
    <row r="54" spans="2:4" ht="12.75">
      <c r="B54" s="33" t="s">
        <v>1461</v>
      </c>
      <c r="D54" s="208"/>
    </row>
    <row r="55" spans="2:4" ht="12.75">
      <c r="B55" s="33" t="s">
        <v>1458</v>
      </c>
      <c r="C55" s="36">
        <f>ROUND('B. Sheet'!Z54+'B. Sheet'!Z55,0)</f>
        <v>3140</v>
      </c>
      <c r="D55" s="208"/>
    </row>
    <row r="56" spans="2:4" ht="12.75">
      <c r="B56" s="33" t="s">
        <v>1459</v>
      </c>
      <c r="C56" s="36">
        <v>0</v>
      </c>
      <c r="D56" s="208"/>
    </row>
    <row r="57" spans="2:4" ht="12.75">
      <c r="B57" s="33"/>
      <c r="C57" s="36"/>
      <c r="D57" s="208"/>
    </row>
    <row r="58" spans="2:4" ht="12.75">
      <c r="B58" s="33" t="s">
        <v>1462</v>
      </c>
      <c r="D58" s="208"/>
    </row>
    <row r="59" spans="2:4" ht="12.75">
      <c r="B59" s="33" t="s">
        <v>1458</v>
      </c>
      <c r="C59" s="36">
        <f>+'B. Sheet'!Z88</f>
        <v>7341.598</v>
      </c>
      <c r="D59" s="208"/>
    </row>
    <row r="60" spans="2:4" ht="12.75">
      <c r="B60" s="33" t="s">
        <v>1459</v>
      </c>
      <c r="C60" s="36">
        <v>0</v>
      </c>
      <c r="D60" s="209"/>
    </row>
    <row r="61" spans="2:4" ht="12.75">
      <c r="B61" s="33"/>
      <c r="C61" s="8"/>
      <c r="D61" s="209"/>
    </row>
    <row r="62" spans="2:4" ht="12.75">
      <c r="B62" s="29" t="s">
        <v>329</v>
      </c>
      <c r="C62" s="30">
        <f>SUM(C55:C59)</f>
        <v>10481.598</v>
      </c>
      <c r="D62" s="208"/>
    </row>
    <row r="65" spans="1:2" ht="12.75">
      <c r="A65" s="62" t="s">
        <v>64</v>
      </c>
      <c r="B65" s="19" t="s">
        <v>65</v>
      </c>
    </row>
    <row r="66" spans="1:2" ht="12.75">
      <c r="A66" s="62"/>
      <c r="B66" s="19"/>
    </row>
    <row r="67" spans="3:4" ht="12.75">
      <c r="C67" s="9" t="s">
        <v>1449</v>
      </c>
      <c r="D67" s="9" t="s">
        <v>1447</v>
      </c>
    </row>
    <row r="68" spans="3:4" ht="12.75">
      <c r="C68" s="9" t="s">
        <v>70</v>
      </c>
      <c r="D68" s="9" t="s">
        <v>1448</v>
      </c>
    </row>
    <row r="69" spans="3:4" ht="12.75">
      <c r="C69" s="313" t="str">
        <f>+C26</f>
        <v>31/01/07</v>
      </c>
      <c r="D69" s="313" t="str">
        <f>+D26</f>
        <v>31/01/07</v>
      </c>
    </row>
    <row r="70" spans="1:2" ht="12.75">
      <c r="A70" s="9" t="s">
        <v>66</v>
      </c>
      <c r="B70" s="65" t="s">
        <v>67</v>
      </c>
    </row>
    <row r="71" spans="2:4" ht="12.75">
      <c r="B71" s="2" t="s">
        <v>68</v>
      </c>
      <c r="C71" s="3">
        <f>ROUND(+EPS!G15,0)</f>
        <v>1987</v>
      </c>
      <c r="D71" s="3">
        <f>ROUND(EPS!G17,0)</f>
        <v>13225</v>
      </c>
    </row>
    <row r="72" ht="12.75">
      <c r="B72" s="2" t="s">
        <v>69</v>
      </c>
    </row>
    <row r="74" spans="2:4" ht="12.75">
      <c r="B74" s="2" t="s">
        <v>71</v>
      </c>
      <c r="C74" s="3">
        <f>+EPS!G13</f>
        <v>53105.9</v>
      </c>
      <c r="D74" s="3">
        <f>+EPS!G13</f>
        <v>53105.9</v>
      </c>
    </row>
    <row r="75" ht="12.75">
      <c r="B75" s="2" t="s">
        <v>72</v>
      </c>
    </row>
    <row r="77" spans="2:4" ht="12.75">
      <c r="B77" s="2" t="s">
        <v>73</v>
      </c>
      <c r="C77" s="166">
        <f>+ROUND(EPS!G20,2)</f>
        <v>3.74</v>
      </c>
      <c r="D77" s="166">
        <f>ROUND(EPS!G22,2)</f>
        <v>24.9</v>
      </c>
    </row>
    <row r="79" spans="1:2" ht="12.75">
      <c r="A79" s="9" t="s">
        <v>74</v>
      </c>
      <c r="B79" s="65" t="s">
        <v>75</v>
      </c>
    </row>
    <row r="80" spans="2:4" ht="12.75">
      <c r="B80" s="2" t="s">
        <v>76</v>
      </c>
      <c r="C80" s="3">
        <f>'Cond PL'!B31</f>
        <v>1986</v>
      </c>
      <c r="D80" s="3">
        <f>'Cond PL'!F31</f>
        <v>13226</v>
      </c>
    </row>
    <row r="81" ht="12.75">
      <c r="B81" s="2" t="s">
        <v>69</v>
      </c>
    </row>
    <row r="83" spans="2:4" ht="12.75">
      <c r="B83" s="2" t="s">
        <v>71</v>
      </c>
      <c r="C83" s="37">
        <f>+EPS!G13</f>
        <v>53105.9</v>
      </c>
      <c r="D83" s="37">
        <f>+EPS!G13</f>
        <v>53105.9</v>
      </c>
    </row>
    <row r="84" spans="2:4" ht="12.75">
      <c r="B84" s="2" t="s">
        <v>72</v>
      </c>
      <c r="C84" s="8"/>
      <c r="D84" s="8"/>
    </row>
    <row r="85" spans="3:4" ht="12.75">
      <c r="C85" s="8"/>
      <c r="D85" s="8"/>
    </row>
    <row r="86" spans="2:4" ht="12.75">
      <c r="B86" s="2" t="s">
        <v>77</v>
      </c>
      <c r="C86" s="7">
        <f>'Fully diluted'!K21/1000</f>
        <v>161.5384615384615</v>
      </c>
      <c r="D86" s="7">
        <f>'Fully diluted'!K21/1000</f>
        <v>161.5384615384615</v>
      </c>
    </row>
    <row r="88" spans="2:4" ht="12.75">
      <c r="B88" s="2" t="s">
        <v>71</v>
      </c>
      <c r="C88" s="3">
        <f>SUM(C83:C86)</f>
        <v>53267.43846153846</v>
      </c>
      <c r="D88" s="3">
        <f>SUM(D83:D86)</f>
        <v>53267.43846153846</v>
      </c>
    </row>
    <row r="89" ht="12.75">
      <c r="B89" s="2" t="s">
        <v>180</v>
      </c>
    </row>
    <row r="90" ht="12.75">
      <c r="B90" s="2" t="s">
        <v>181</v>
      </c>
    </row>
    <row r="92" spans="2:4" ht="12.75">
      <c r="B92" s="2" t="s">
        <v>78</v>
      </c>
      <c r="C92" s="166">
        <f>'Fully diluted'!I25</f>
        <v>3.730796444125807</v>
      </c>
      <c r="D92" s="166">
        <f>'Fully diluted'!K25</f>
        <v>24.826967622159625</v>
      </c>
    </row>
  </sheetData>
  <printOptions/>
  <pageMargins left="0.75" right="0.75" top="0.56" bottom="0.43" header="0.45" footer="0.24"/>
  <pageSetup horizontalDpi="300" verticalDpi="300" orientation="portrait" paperSize="9" scale="76" r:id="rId4"/>
  <headerFooter alignWithMargins="0">
    <oddHeader>&amp;R&amp;D  &amp;T</oddHeader>
  </headerFooter>
  <rowBreaks count="1" manualBreakCount="1">
    <brk id="63" max="5" man="1"/>
  </rowBreaks>
  <drawing r:id="rId3"/>
  <legacyDrawing r:id="rId2"/>
</worksheet>
</file>

<file path=xl/worksheets/sheet2.xml><?xml version="1.0" encoding="utf-8"?>
<worksheet xmlns="http://schemas.openxmlformats.org/spreadsheetml/2006/main" xmlns:r="http://schemas.openxmlformats.org/officeDocument/2006/relationships">
  <dimension ref="B1:K53"/>
  <sheetViews>
    <sheetView workbookViewId="0" topLeftCell="A1">
      <selection activeCell="K18" sqref="K18"/>
    </sheetView>
  </sheetViews>
  <sheetFormatPr defaultColWidth="9.140625" defaultRowHeight="12.75"/>
  <cols>
    <col min="1" max="1" width="3.00390625" style="2" customWidth="1"/>
    <col min="2" max="2" width="30.57421875" style="2" customWidth="1"/>
    <col min="3" max="3" width="12.28125" style="445" customWidth="1"/>
    <col min="4" max="4" width="1.7109375" style="445" customWidth="1"/>
    <col min="5" max="5" width="12.28125" style="445" customWidth="1"/>
    <col min="6" max="6" width="3.57421875" style="445" customWidth="1"/>
    <col min="7" max="7" width="12.28125" style="445" customWidth="1"/>
    <col min="8" max="8" width="1.57421875" style="445" customWidth="1"/>
    <col min="9" max="9" width="12.28125" style="445" customWidth="1"/>
    <col min="10" max="16384" width="8.8515625" style="2" customWidth="1"/>
  </cols>
  <sheetData>
    <row r="1" ht="18.75">
      <c r="B1" s="213" t="s">
        <v>1617</v>
      </c>
    </row>
    <row r="3" ht="15.75">
      <c r="B3" s="212" t="s">
        <v>1472</v>
      </c>
    </row>
    <row r="4" ht="15.75">
      <c r="B4" s="212" t="str">
        <f>'[8]Cond PL'!A4</f>
        <v>For the period ended 31 January 2007</v>
      </c>
    </row>
    <row r="7" spans="3:9" ht="12.75">
      <c r="C7" s="1118" t="s">
        <v>1350</v>
      </c>
      <c r="D7" s="1119"/>
      <c r="E7" s="1120"/>
      <c r="G7" s="1118" t="s">
        <v>1351</v>
      </c>
      <c r="H7" s="1119"/>
      <c r="I7" s="1120"/>
    </row>
    <row r="8" spans="3:9" ht="12.75">
      <c r="C8" s="1115" t="s">
        <v>448</v>
      </c>
      <c r="D8" s="1116"/>
      <c r="E8" s="1117"/>
      <c r="G8" s="1115" t="s">
        <v>119</v>
      </c>
      <c r="H8" s="1116"/>
      <c r="I8" s="1117"/>
    </row>
    <row r="9" spans="3:9" ht="12.75">
      <c r="C9" s="1100">
        <v>2007</v>
      </c>
      <c r="D9" s="1101"/>
      <c r="E9" s="1100">
        <v>2006</v>
      </c>
      <c r="G9" s="1100">
        <v>2007</v>
      </c>
      <c r="H9" s="1101"/>
      <c r="I9" s="1100">
        <v>2006</v>
      </c>
    </row>
    <row r="10" spans="3:9" ht="12.75">
      <c r="C10" s="1086" t="s">
        <v>521</v>
      </c>
      <c r="E10" s="1086" t="s">
        <v>521</v>
      </c>
      <c r="G10" s="1102" t="s">
        <v>521</v>
      </c>
      <c r="I10" s="1102" t="s">
        <v>521</v>
      </c>
    </row>
    <row r="12" ht="12.75">
      <c r="B12" s="60"/>
    </row>
    <row r="13" spans="2:9" ht="12.75">
      <c r="B13" s="2" t="s">
        <v>1318</v>
      </c>
      <c r="C13" s="437">
        <f>ROUND('[8]P&amp;L'!AA9,0)</f>
        <v>48944</v>
      </c>
      <c r="D13" s="631"/>
      <c r="E13" s="437">
        <f>+'[8]Cond PL'!D11</f>
        <v>51991</v>
      </c>
      <c r="F13" s="631"/>
      <c r="G13" s="437">
        <f>ROUND('[8]P&amp;L'!Y9,0)</f>
        <v>215726</v>
      </c>
      <c r="H13" s="631"/>
      <c r="I13" s="437">
        <f>'[8]Cond PL'!H11</f>
        <v>211228</v>
      </c>
    </row>
    <row r="14" spans="3:9" ht="12.75">
      <c r="C14" s="340"/>
      <c r="D14" s="631"/>
      <c r="E14" s="340"/>
      <c r="F14" s="631"/>
      <c r="G14" s="340"/>
      <c r="H14" s="631"/>
      <c r="I14" s="340"/>
    </row>
    <row r="15" spans="2:9" ht="12.75">
      <c r="B15" s="2" t="s">
        <v>523</v>
      </c>
      <c r="C15" s="340">
        <f>+'[8]P&amp;L'!AA13+'[8]P&amp;L'!AA14</f>
        <v>-41250.14865000003</v>
      </c>
      <c r="D15" s="631"/>
      <c r="E15" s="340">
        <v>-43040</v>
      </c>
      <c r="F15" s="631"/>
      <c r="G15" s="340">
        <f>+'[8]P&amp;L'!Y13+'[8]P&amp;L'!Y14+'[8]P&amp;L'!Y30</f>
        <v>-175741.56770000004</v>
      </c>
      <c r="H15" s="631"/>
      <c r="I15" s="340">
        <v>-172279</v>
      </c>
    </row>
    <row r="16" spans="3:9" ht="12.75">
      <c r="C16" s="340"/>
      <c r="D16" s="631"/>
      <c r="E16" s="340"/>
      <c r="F16" s="631"/>
      <c r="G16" s="340"/>
      <c r="H16" s="631"/>
      <c r="I16" s="340"/>
    </row>
    <row r="17" spans="2:9" ht="12.75">
      <c r="B17" s="60" t="s">
        <v>745</v>
      </c>
      <c r="C17" s="437">
        <f>SUM(C13:C15)</f>
        <v>7693.851349999968</v>
      </c>
      <c r="D17" s="631"/>
      <c r="E17" s="437">
        <f>SUM(E13:E15)</f>
        <v>8951</v>
      </c>
      <c r="F17" s="631"/>
      <c r="G17" s="437">
        <f>SUM(G13:G15)</f>
        <v>39984.43229999996</v>
      </c>
      <c r="H17" s="631"/>
      <c r="I17" s="437">
        <f>SUM(I13:I15)</f>
        <v>38949</v>
      </c>
    </row>
    <row r="18" spans="3:9" ht="12.75">
      <c r="C18" s="1103"/>
      <c r="D18" s="631"/>
      <c r="E18" s="1103"/>
      <c r="F18" s="631"/>
      <c r="G18" s="1103"/>
      <c r="H18" s="631"/>
      <c r="I18" s="1103"/>
    </row>
    <row r="19" spans="2:9" ht="12.75">
      <c r="B19" s="2" t="s">
        <v>531</v>
      </c>
      <c r="C19" s="340">
        <f>ROUND('[8]P&amp;L'!AA33,0)</f>
        <v>780</v>
      </c>
      <c r="D19" s="631"/>
      <c r="E19" s="340">
        <f>'[8]Cond PL'!D15+351</f>
        <v>-328</v>
      </c>
      <c r="F19" s="631"/>
      <c r="G19" s="340">
        <f>ROUND('[8]P&amp;L'!Y33-'[8]P&amp;L'!Y30,0)</f>
        <v>3242</v>
      </c>
      <c r="H19" s="631"/>
      <c r="I19" s="340">
        <f>'[8]Cond PL'!H15</f>
        <v>1137</v>
      </c>
    </row>
    <row r="20" spans="3:9" ht="12.75">
      <c r="C20" s="340"/>
      <c r="D20" s="631"/>
      <c r="E20" s="340"/>
      <c r="F20" s="631"/>
      <c r="G20" s="340"/>
      <c r="H20" s="631"/>
      <c r="I20" s="340"/>
    </row>
    <row r="21" spans="2:10" ht="12.75">
      <c r="B21" s="445" t="s">
        <v>701</v>
      </c>
      <c r="C21" s="340">
        <f>ROUND(-'[8]P&amp;L'!AA44-'[8]P&amp;L'!AA53-'[8]P&amp;L'!AA54-'[8]P&amp;L'!AA55-'[8]P&amp;L'!AA60+'[8]P&amp;L'!AA72-'[8]P&amp;L'!AA58,0)-2</f>
        <v>-4221</v>
      </c>
      <c r="D21" s="631"/>
      <c r="E21" s="340">
        <v>-3169</v>
      </c>
      <c r="F21" s="631"/>
      <c r="G21" s="340">
        <f>ROUND(-'[8]P&amp;L'!Y44-'[8]P&amp;L'!Y53-'[8]P&amp;L'!Y54-+'[8]P&amp;L'!Y58+'[8]P&amp;L'!Y60+'[8]P&amp;L'!Y72,0)</f>
        <v>-18822</v>
      </c>
      <c r="H21" s="631"/>
      <c r="I21" s="340">
        <v>-15398</v>
      </c>
      <c r="J21" s="1066"/>
    </row>
    <row r="22" spans="3:9" ht="12.75">
      <c r="C22" s="340"/>
      <c r="D22" s="631"/>
      <c r="E22" s="340"/>
      <c r="F22" s="631"/>
      <c r="G22" s="340"/>
      <c r="H22" s="631"/>
      <c r="I22" s="340"/>
    </row>
    <row r="23" spans="2:9" ht="12.75">
      <c r="B23" s="2" t="s">
        <v>746</v>
      </c>
      <c r="C23" s="340">
        <f>ROUND(-'[8]P&amp;L'!AA48-'[8]P&amp;L'!AA49-'[8]P&amp;L'!AA50,0)+1</f>
        <v>-251</v>
      </c>
      <c r="D23" s="631"/>
      <c r="E23" s="340">
        <f>'[8]Cond PL'!D19</f>
        <v>-244</v>
      </c>
      <c r="F23" s="631"/>
      <c r="G23" s="340">
        <f>ROUND(-'[8]P&amp;L'!Y48-'[8]P&amp;L'!Y49-'[8]P&amp;L'!Y50,0)</f>
        <v>-1124</v>
      </c>
      <c r="H23" s="631"/>
      <c r="I23" s="340">
        <f>'[8]Cond PL'!H19</f>
        <v>-1027</v>
      </c>
    </row>
    <row r="24" spans="3:9" ht="12.75">
      <c r="C24" s="340"/>
      <c r="D24" s="631"/>
      <c r="E24" s="340"/>
      <c r="F24" s="631"/>
      <c r="G24" s="340"/>
      <c r="H24" s="631"/>
      <c r="I24" s="340"/>
    </row>
    <row r="25" spans="2:9" ht="12.75">
      <c r="B25" s="2" t="s">
        <v>1371</v>
      </c>
      <c r="C25" s="340">
        <f>ROUND('[8]P&amp;L'!AA61,0)</f>
        <v>451</v>
      </c>
      <c r="D25" s="631"/>
      <c r="E25" s="340">
        <f>'[8]Cond PL'!D21</f>
        <v>287</v>
      </c>
      <c r="F25" s="631"/>
      <c r="G25" s="340">
        <f>ROUND('[8]P&amp;L'!Y61,0)</f>
        <v>1280</v>
      </c>
      <c r="H25" s="631"/>
      <c r="I25" s="340">
        <f>'[8]Cond PL'!H21</f>
        <v>1623</v>
      </c>
    </row>
    <row r="26" spans="3:9" ht="12.75">
      <c r="C26" s="531"/>
      <c r="D26" s="631"/>
      <c r="E26" s="531"/>
      <c r="F26" s="631"/>
      <c r="G26" s="531"/>
      <c r="H26" s="631"/>
      <c r="I26" s="531"/>
    </row>
    <row r="27" spans="2:9" ht="12.75">
      <c r="B27" s="60" t="s">
        <v>702</v>
      </c>
      <c r="C27" s="163">
        <f>SUM(C17:C26)</f>
        <v>4452.851349999968</v>
      </c>
      <c r="D27" s="631"/>
      <c r="E27" s="163">
        <f>SUM(E17:E25)</f>
        <v>5497</v>
      </c>
      <c r="F27" s="631"/>
      <c r="G27" s="163">
        <f>SUM(G17:G26)</f>
        <v>24560.432299999957</v>
      </c>
      <c r="H27" s="631"/>
      <c r="I27" s="163">
        <f>SUM(I17:I26)</f>
        <v>25284</v>
      </c>
    </row>
    <row r="28" spans="3:9" ht="12.75">
      <c r="C28" s="340"/>
      <c r="D28" s="631"/>
      <c r="E28" s="340"/>
      <c r="F28" s="631"/>
      <c r="G28" s="340"/>
      <c r="H28" s="631"/>
      <c r="I28" s="340"/>
    </row>
    <row r="29" spans="2:9" ht="12.75">
      <c r="B29" s="2" t="s">
        <v>747</v>
      </c>
      <c r="C29" s="340">
        <f>ROUND('[8]P&amp;L'!AA76,0)</f>
        <v>-739</v>
      </c>
      <c r="D29" s="631"/>
      <c r="E29" s="340">
        <f>'[8]Cond PL'!D25</f>
        <v>-922</v>
      </c>
      <c r="F29" s="631"/>
      <c r="G29" s="340">
        <f>ROUND(+'[8]P&amp;L'!Y76,0)</f>
        <v>-3369</v>
      </c>
      <c r="H29" s="631"/>
      <c r="I29" s="340">
        <f>'[8]Cond PL'!H25</f>
        <v>-4485</v>
      </c>
    </row>
    <row r="30" spans="3:9" ht="12.75">
      <c r="C30" s="340"/>
      <c r="D30" s="631"/>
      <c r="E30" s="340"/>
      <c r="F30" s="631"/>
      <c r="G30" s="340"/>
      <c r="H30" s="631"/>
      <c r="I30" s="340"/>
    </row>
    <row r="31" spans="2:11" ht="12.75">
      <c r="B31" s="60" t="s">
        <v>703</v>
      </c>
      <c r="C31" s="163">
        <f>SUM(C27:C30)</f>
        <v>3713.851349999968</v>
      </c>
      <c r="D31" s="631"/>
      <c r="E31" s="163">
        <f>SUM(E27:E30)</f>
        <v>4575</v>
      </c>
      <c r="F31" s="631"/>
      <c r="G31" s="163">
        <f>SUM(G27:G30)</f>
        <v>21191.432299999957</v>
      </c>
      <c r="H31" s="631"/>
      <c r="I31" s="163">
        <f>SUM(I27:I30)</f>
        <v>20799</v>
      </c>
      <c r="K31" s="22"/>
    </row>
    <row r="32" spans="2:9" ht="12.75">
      <c r="B32" s="60"/>
      <c r="C32" s="340"/>
      <c r="D32" s="631"/>
      <c r="E32" s="340"/>
      <c r="F32" s="631"/>
      <c r="G32" s="340"/>
      <c r="H32" s="631"/>
      <c r="I32" s="340"/>
    </row>
    <row r="33" spans="2:9" ht="12.75">
      <c r="B33" s="60" t="s">
        <v>748</v>
      </c>
      <c r="C33" s="340"/>
      <c r="D33" s="631"/>
      <c r="E33" s="340"/>
      <c r="F33" s="631"/>
      <c r="G33" s="340"/>
      <c r="H33" s="631"/>
      <c r="I33" s="340"/>
    </row>
    <row r="34" spans="2:9" ht="12.75">
      <c r="B34" s="2" t="s">
        <v>749</v>
      </c>
      <c r="C34" s="340">
        <f>+'[8]P&amp;L'!AA83</f>
        <v>1987.2994999999355</v>
      </c>
      <c r="D34" s="631"/>
      <c r="E34" s="340">
        <f>E31-E35</f>
        <v>2868</v>
      </c>
      <c r="F34" s="631"/>
      <c r="G34" s="340">
        <f>ROUND('[8]P&amp;L'!Y83,0)-1</f>
        <v>13224</v>
      </c>
      <c r="H34" s="631"/>
      <c r="I34" s="340">
        <f>I31-I35</f>
        <v>12176</v>
      </c>
    </row>
    <row r="35" spans="2:9" ht="12.75">
      <c r="B35" s="2" t="s">
        <v>19</v>
      </c>
      <c r="C35" s="340">
        <f>-ROUND('[8]P&amp;L'!AA81,0)</f>
        <v>1727</v>
      </c>
      <c r="D35" s="631"/>
      <c r="E35" s="340">
        <f>-+'[8]Cond PL'!D29</f>
        <v>1707</v>
      </c>
      <c r="F35" s="631"/>
      <c r="G35" s="340">
        <f>-ROUND('[8]P&amp;L'!Y81,0)</f>
        <v>7967</v>
      </c>
      <c r="H35" s="631"/>
      <c r="I35" s="340">
        <f>-'[8]Cond PL'!H29</f>
        <v>8623</v>
      </c>
    </row>
    <row r="36" spans="3:9" ht="12.75">
      <c r="C36" s="340"/>
      <c r="D36" s="631"/>
      <c r="E36" s="340"/>
      <c r="F36" s="631"/>
      <c r="G36" s="340"/>
      <c r="H36" s="631"/>
      <c r="I36" s="340"/>
    </row>
    <row r="37" spans="2:9" ht="13.5" thickBot="1">
      <c r="B37" s="60"/>
      <c r="C37" s="1104">
        <f>SUM(C34:C36)</f>
        <v>3714.2994999999355</v>
      </c>
      <c r="D37" s="631"/>
      <c r="E37" s="1104">
        <f>SUM(E34:E36)</f>
        <v>4575</v>
      </c>
      <c r="F37" s="631"/>
      <c r="G37" s="1104">
        <f>SUM(G34:G36)</f>
        <v>21191</v>
      </c>
      <c r="H37" s="631"/>
      <c r="I37" s="1104">
        <f>SUM(I34:I36)</f>
        <v>20799</v>
      </c>
    </row>
    <row r="38" spans="3:9" ht="13.5" thickTop="1">
      <c r="C38" s="1105"/>
      <c r="D38" s="1105"/>
      <c r="E38" s="1105"/>
      <c r="F38" s="1105"/>
      <c r="G38" s="1105"/>
      <c r="H38" s="1105"/>
      <c r="I38" s="1105"/>
    </row>
    <row r="39" spans="3:9" ht="12.75">
      <c r="C39" s="1105"/>
      <c r="D39" s="1105"/>
      <c r="E39" s="1105"/>
      <c r="F39" s="1105"/>
      <c r="G39" s="1105"/>
      <c r="H39" s="1105"/>
      <c r="I39" s="1105"/>
    </row>
    <row r="40" spans="2:9" ht="12.75">
      <c r="B40" s="60" t="s">
        <v>750</v>
      </c>
      <c r="C40" s="1105"/>
      <c r="D40" s="1105"/>
      <c r="E40" s="1105"/>
      <c r="F40" s="1105"/>
      <c r="G40" s="1105"/>
      <c r="H40" s="1105"/>
      <c r="I40" s="1105"/>
    </row>
    <row r="41" spans="2:9" ht="12.75">
      <c r="B41" s="60" t="s">
        <v>1352</v>
      </c>
      <c r="C41" s="1105"/>
      <c r="D41" s="1105"/>
      <c r="E41" s="1105"/>
      <c r="F41" s="1105"/>
      <c r="G41" s="1105"/>
      <c r="H41" s="1105"/>
      <c r="I41" s="1105"/>
    </row>
    <row r="42" spans="2:9" ht="12.75">
      <c r="B42" s="2" t="s">
        <v>756</v>
      </c>
      <c r="C42" s="1106">
        <f>+'[8]EPS'!G20</f>
        <v>3.74</v>
      </c>
      <c r="D42" s="1105"/>
      <c r="E42" s="1106">
        <f>'[8]Cond PL'!D33</f>
        <v>5.41</v>
      </c>
      <c r="F42" s="1105"/>
      <c r="G42" s="1106">
        <f>+'[8]EPS'!G22</f>
        <v>24.9</v>
      </c>
      <c r="H42" s="1105"/>
      <c r="I42" s="1106">
        <f>'[8]Cond PL'!H33</f>
        <v>22.95</v>
      </c>
    </row>
    <row r="43" spans="3:9" ht="12.75">
      <c r="C43" s="632"/>
      <c r="D43" s="1105"/>
      <c r="E43" s="632"/>
      <c r="F43" s="1105"/>
      <c r="G43" s="632"/>
      <c r="H43" s="1105"/>
      <c r="I43" s="632"/>
    </row>
    <row r="44" spans="2:9" ht="12.75">
      <c r="B44" s="12" t="s">
        <v>757</v>
      </c>
      <c r="C44" s="1106">
        <f>'[8]Fully diluted'!I25</f>
        <v>3.7307960686618276</v>
      </c>
      <c r="D44" s="1105"/>
      <c r="E44" s="1107">
        <f>'[8]Cond PL'!D35</f>
        <v>5.4</v>
      </c>
      <c r="F44" s="1105"/>
      <c r="G44" s="1106">
        <f>'[8]Fully diluted'!K25</f>
        <v>24.826967622159614</v>
      </c>
      <c r="H44" s="1105"/>
      <c r="I44" s="1107">
        <f>'[8]Cond PL'!H35</f>
        <v>22.94</v>
      </c>
    </row>
    <row r="51" spans="3:7" ht="12.75">
      <c r="C51" s="1108"/>
      <c r="D51" s="1109"/>
      <c r="G51" s="1110"/>
    </row>
    <row r="52" spans="2:7" ht="12.75" hidden="1">
      <c r="B52" s="174" t="s">
        <v>1437</v>
      </c>
      <c r="C52" s="1108">
        <f>C31-C37</f>
        <v>-0.448149999967427</v>
      </c>
      <c r="D52" s="1109"/>
      <c r="G52" s="1110">
        <f>G31-G37</f>
        <v>0.43229999995674007</v>
      </c>
    </row>
    <row r="53" spans="3:9" ht="12.75">
      <c r="C53" s="866"/>
      <c r="E53" s="866"/>
      <c r="G53" s="866"/>
      <c r="I53" s="866"/>
    </row>
  </sheetData>
  <mergeCells count="4">
    <mergeCell ref="C8:E8"/>
    <mergeCell ref="G8:I8"/>
    <mergeCell ref="C7:E7"/>
    <mergeCell ref="G7:I7"/>
  </mergeCells>
  <printOptions horizontalCentered="1" verticalCentered="1"/>
  <pageMargins left="0.65" right="0.63" top="0.51" bottom="0.77" header="0.5" footer="0.5"/>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1:Q105"/>
  <sheetViews>
    <sheetView zoomScaleSheetLayoutView="100" workbookViewId="0" topLeftCell="A20">
      <selection activeCell="E29" sqref="E29"/>
    </sheetView>
  </sheetViews>
  <sheetFormatPr defaultColWidth="9.140625" defaultRowHeight="12.75"/>
  <cols>
    <col min="1" max="1" width="9.28125" style="368" customWidth="1"/>
    <col min="2" max="2" width="23.28125" style="368" bestFit="1" customWidth="1"/>
    <col min="3" max="5" width="14.00390625" style="368" bestFit="1" customWidth="1"/>
    <col min="6" max="6" width="13.421875" style="368" customWidth="1"/>
    <col min="7" max="7" width="12.57421875" style="368" bestFit="1" customWidth="1"/>
    <col min="8" max="8" width="11.8515625" style="368" bestFit="1" customWidth="1"/>
    <col min="9" max="9" width="9.421875" style="368" bestFit="1" customWidth="1"/>
    <col min="10" max="10" width="12.7109375" style="368" bestFit="1" customWidth="1"/>
    <col min="11" max="11" width="14.00390625" style="368" customWidth="1"/>
    <col min="12" max="12" width="11.7109375" style="368" customWidth="1"/>
    <col min="13" max="13" width="9.421875" style="368" customWidth="1"/>
    <col min="14" max="14" width="10.00390625" style="368" bestFit="1" customWidth="1"/>
    <col min="15" max="16384" width="8.8515625" style="368" customWidth="1"/>
  </cols>
  <sheetData>
    <row r="1" spans="1:17" ht="12.75">
      <c r="A1" s="540" t="s">
        <v>1023</v>
      </c>
      <c r="C1" s="375"/>
      <c r="D1" s="375"/>
      <c r="E1" s="375"/>
      <c r="F1" s="375"/>
      <c r="G1" s="375"/>
      <c r="H1" s="375"/>
      <c r="I1" s="375"/>
      <c r="J1" s="375"/>
      <c r="K1" s="375"/>
      <c r="L1" s="375"/>
      <c r="M1" s="375"/>
      <c r="N1" s="375"/>
      <c r="O1" s="375"/>
      <c r="P1" s="375"/>
      <c r="Q1" s="375"/>
    </row>
    <row r="2" spans="1:17" ht="12.75">
      <c r="A2" s="375"/>
      <c r="B2" s="540"/>
      <c r="C2" s="375"/>
      <c r="D2" s="375"/>
      <c r="E2" s="375"/>
      <c r="F2" s="375"/>
      <c r="G2" s="375"/>
      <c r="H2" s="375"/>
      <c r="I2" s="375"/>
      <c r="J2" s="375"/>
      <c r="K2" s="375"/>
      <c r="L2" s="375"/>
      <c r="M2" s="375"/>
      <c r="N2" s="375"/>
      <c r="O2" s="375"/>
      <c r="P2" s="375"/>
      <c r="Q2" s="375"/>
    </row>
    <row r="3" spans="1:13" ht="25.5">
      <c r="A3" s="751"/>
      <c r="B3" s="752"/>
      <c r="C3" s="753" t="s">
        <v>312</v>
      </c>
      <c r="D3" s="753" t="s">
        <v>313</v>
      </c>
      <c r="E3" s="753" t="s">
        <v>314</v>
      </c>
      <c r="F3" s="375"/>
      <c r="G3" s="375"/>
      <c r="H3" s="375"/>
      <c r="I3" s="375"/>
      <c r="J3" s="375"/>
      <c r="K3" s="375"/>
      <c r="L3" s="375"/>
      <c r="M3" s="375"/>
    </row>
    <row r="4" spans="1:13" ht="12.75">
      <c r="A4" s="754" t="s">
        <v>315</v>
      </c>
      <c r="B4" s="754" t="s">
        <v>316</v>
      </c>
      <c r="C4" s="755" t="s">
        <v>317</v>
      </c>
      <c r="D4" s="755" t="s">
        <v>317</v>
      </c>
      <c r="E4" s="755" t="s">
        <v>317</v>
      </c>
      <c r="F4" s="375"/>
      <c r="G4" s="375"/>
      <c r="H4" s="375"/>
      <c r="I4" s="375"/>
      <c r="J4" s="375"/>
      <c r="K4" s="375"/>
      <c r="L4" s="375"/>
      <c r="M4" s="375"/>
    </row>
    <row r="5" spans="1:13" s="420" customFormat="1" ht="12.75">
      <c r="A5" s="756">
        <v>1</v>
      </c>
      <c r="B5" s="757" t="s">
        <v>318</v>
      </c>
      <c r="C5" s="758">
        <f>+'B. Sheet'!K69</f>
        <v>53105.9</v>
      </c>
      <c r="D5" s="759">
        <f>+'B. Sheet'!K71</f>
        <v>-62255.843</v>
      </c>
      <c r="E5" s="759">
        <f>+'B. Sheet'!K72</f>
        <v>1065.3779999999997</v>
      </c>
      <c r="F5" s="452"/>
      <c r="G5" s="452"/>
      <c r="H5" s="452"/>
      <c r="I5" s="452"/>
      <c r="J5" s="452"/>
      <c r="K5" s="452"/>
      <c r="L5" s="452"/>
      <c r="M5" s="452"/>
    </row>
    <row r="6" spans="1:8" s="361" customFormat="1" ht="12.75">
      <c r="A6" s="756">
        <v>2</v>
      </c>
      <c r="B6" s="756" t="s">
        <v>866</v>
      </c>
      <c r="C6" s="760">
        <f>+'B. Sheet'!B$69</f>
        <v>5000</v>
      </c>
      <c r="D6" s="760">
        <f>+'B. Sheet'!B71</f>
        <v>-23577.828</v>
      </c>
      <c r="E6" s="760">
        <f>+'B. Sheet'!B72</f>
        <v>-55.588999999999984</v>
      </c>
      <c r="H6" s="452"/>
    </row>
    <row r="7" spans="1:8" ht="12.75">
      <c r="A7" s="756">
        <v>3</v>
      </c>
      <c r="B7" s="756" t="s">
        <v>320</v>
      </c>
      <c r="C7" s="760">
        <f>+'B. Sheet'!D$69</f>
        <v>6000</v>
      </c>
      <c r="D7" s="760">
        <f>+'B. Sheet'!D71</f>
        <v>-9352.274</v>
      </c>
      <c r="E7" s="760">
        <f>+'B. Sheet'!D72</f>
        <v>12.360999999999997</v>
      </c>
      <c r="H7" s="452"/>
    </row>
    <row r="8" spans="1:8" ht="12.75">
      <c r="A8" s="756">
        <v>4</v>
      </c>
      <c r="B8" s="756" t="s">
        <v>321</v>
      </c>
      <c r="C8" s="760">
        <f>+'B. Sheet'!E$69</f>
        <v>1500.003</v>
      </c>
      <c r="D8" s="760">
        <f>+'B. Sheet'!E71</f>
        <v>-757.212</v>
      </c>
      <c r="E8" s="760">
        <f>+'B. Sheet'!E72</f>
        <v>13.372999999999998</v>
      </c>
      <c r="H8" s="452"/>
    </row>
    <row r="9" spans="1:8" ht="12.75">
      <c r="A9" s="756">
        <v>5</v>
      </c>
      <c r="B9" s="756" t="s">
        <v>322</v>
      </c>
      <c r="C9" s="760">
        <f>+'B. Sheet'!F$69</f>
        <v>1000</v>
      </c>
      <c r="D9" s="760">
        <f>+'B. Sheet'!F71</f>
        <v>-2096.177</v>
      </c>
      <c r="E9" s="760">
        <f>+'B. Sheet'!F72</f>
        <v>-6.996</v>
      </c>
      <c r="H9" s="452"/>
    </row>
    <row r="10" spans="1:8" ht="12.75">
      <c r="A10" s="756">
        <v>6</v>
      </c>
      <c r="B10" s="756" t="s">
        <v>323</v>
      </c>
      <c r="C10" s="760">
        <f>+'B. Sheet'!H$69</f>
        <v>4500</v>
      </c>
      <c r="D10" s="760">
        <f>+'B. Sheet'!H71</f>
        <v>-3425.269</v>
      </c>
      <c r="E10" s="760">
        <f>+'B. Sheet'!H72</f>
        <v>-427.461</v>
      </c>
      <c r="H10" s="452"/>
    </row>
    <row r="11" spans="1:8" ht="12.75">
      <c r="A11" s="756">
        <v>7</v>
      </c>
      <c r="B11" s="756" t="s">
        <v>324</v>
      </c>
      <c r="C11" s="760">
        <f>+'B. Sheet'!I$69</f>
        <v>0.002</v>
      </c>
      <c r="D11" s="760">
        <f>+'B. Sheet'!I71</f>
        <v>-721.5910000000001</v>
      </c>
      <c r="E11" s="760">
        <f>+'B. Sheet'!I72</f>
        <v>-2.867</v>
      </c>
      <c r="H11" s="452"/>
    </row>
    <row r="12" spans="1:8" ht="12.75">
      <c r="A12" s="756">
        <v>8</v>
      </c>
      <c r="B12" s="756" t="s">
        <v>325</v>
      </c>
      <c r="C12" s="760">
        <f>+'B. Sheet'!Q$69</f>
        <v>0.002</v>
      </c>
      <c r="D12" s="760">
        <f>+'B. Sheet'!Q71</f>
        <v>-12310.343</v>
      </c>
      <c r="E12" s="760">
        <f>+'B. Sheet'!Q72</f>
        <v>65.54899999999999</v>
      </c>
      <c r="H12" s="452"/>
    </row>
    <row r="13" spans="1:8" ht="12.75">
      <c r="A13" s="756">
        <v>9</v>
      </c>
      <c r="B13" s="756" t="s">
        <v>326</v>
      </c>
      <c r="C13" s="760">
        <f>+'B. Sheet'!R$69</f>
        <v>0.002</v>
      </c>
      <c r="D13" s="760">
        <f>+'B. Sheet'!R71</f>
        <v>-3442.242</v>
      </c>
      <c r="E13" s="760">
        <f>+'B. Sheet'!R72</f>
        <v>-2.109</v>
      </c>
      <c r="H13" s="452"/>
    </row>
    <row r="14" spans="1:8" ht="12.75">
      <c r="A14" s="756">
        <v>10</v>
      </c>
      <c r="B14" s="756" t="s">
        <v>327</v>
      </c>
      <c r="C14" s="760">
        <f>+'B. Sheet'!S$69</f>
        <v>0.002</v>
      </c>
      <c r="D14" s="760">
        <f>+'B. Sheet'!S71</f>
        <v>-468.66235</v>
      </c>
      <c r="E14" s="760">
        <f>+'B. Sheet'!S72</f>
        <v>-192.455</v>
      </c>
      <c r="H14" s="452"/>
    </row>
    <row r="15" spans="1:8" ht="12.75">
      <c r="A15" s="756">
        <v>11</v>
      </c>
      <c r="B15" s="756" t="s">
        <v>328</v>
      </c>
      <c r="C15" s="760">
        <f>+'B. Sheet'!V$69</f>
        <v>0.002</v>
      </c>
      <c r="D15" s="760">
        <f>+'B. Sheet'!V71</f>
        <v>-12.037</v>
      </c>
      <c r="E15" s="760">
        <f>+'B. Sheet'!V72</f>
        <v>-1.647</v>
      </c>
      <c r="H15" s="452"/>
    </row>
    <row r="16" spans="1:8" ht="12.75">
      <c r="A16" s="756">
        <v>12</v>
      </c>
      <c r="B16" s="756" t="s">
        <v>336</v>
      </c>
      <c r="C16" s="760">
        <f>+'B. Sheet'!P69</f>
        <v>500</v>
      </c>
      <c r="D16" s="760">
        <f>+'B. Sheet'!P71</f>
        <v>-477.87600000000003</v>
      </c>
      <c r="E16" s="760">
        <f>+'B. Sheet'!P72</f>
        <v>-0.8899999999999999</v>
      </c>
      <c r="H16" s="452"/>
    </row>
    <row r="17" spans="1:8" ht="12.75">
      <c r="A17" s="756">
        <v>13</v>
      </c>
      <c r="B17" s="756" t="s">
        <v>332</v>
      </c>
      <c r="C17" s="760">
        <v>1250</v>
      </c>
      <c r="D17" s="760">
        <f>'B. Sheet'!G71</f>
        <v>2989.941</v>
      </c>
      <c r="E17" s="760">
        <f>'B. Sheet'!G72</f>
        <v>-0.5729999999999995</v>
      </c>
      <c r="H17" s="452"/>
    </row>
    <row r="18" spans="1:8" ht="12.75">
      <c r="A18" s="761"/>
      <c r="B18" s="506" t="s">
        <v>329</v>
      </c>
      <c r="C18" s="762">
        <f>SUM(C5:C17)</f>
        <v>72855.91299999997</v>
      </c>
      <c r="D18" s="762">
        <f>SUM(D5:D17)</f>
        <v>-115907.41335</v>
      </c>
      <c r="E18" s="762">
        <f>SUM(E5:E17)</f>
        <v>466.07399999999956</v>
      </c>
      <c r="H18" s="452"/>
    </row>
    <row r="19" ht="12.75">
      <c r="H19" s="1081"/>
    </row>
    <row r="20" spans="2:12" ht="13.5" thickBot="1">
      <c r="B20" s="368" t="s">
        <v>330</v>
      </c>
      <c r="C20" s="763">
        <f>SUM(C6:C17)</f>
        <v>19750.013000000003</v>
      </c>
      <c r="E20" s="505"/>
      <c r="F20" s="667"/>
      <c r="G20" s="505"/>
      <c r="K20" s="505"/>
      <c r="L20" s="505"/>
    </row>
    <row r="21" ht="13.5" thickTop="1"/>
    <row r="22" ht="12.75"/>
    <row r="23" spans="2:10" ht="12.75">
      <c r="B23" s="761"/>
      <c r="C23" s="764" t="s">
        <v>331</v>
      </c>
      <c r="D23" s="764" t="s">
        <v>332</v>
      </c>
      <c r="E23" s="764" t="s">
        <v>333</v>
      </c>
      <c r="F23" s="764" t="s">
        <v>334</v>
      </c>
      <c r="G23" s="764" t="s">
        <v>335</v>
      </c>
      <c r="H23" s="764" t="s">
        <v>300</v>
      </c>
      <c r="I23" s="764" t="s">
        <v>257</v>
      </c>
      <c r="J23" s="506" t="s">
        <v>329</v>
      </c>
    </row>
    <row r="24" spans="2:11" ht="12.75">
      <c r="B24" s="765" t="s">
        <v>337</v>
      </c>
      <c r="C24" s="766">
        <v>0.0667</v>
      </c>
      <c r="D24" s="766">
        <v>0</v>
      </c>
      <c r="E24" s="766">
        <v>0.4</v>
      </c>
      <c r="F24" s="766">
        <v>0.4</v>
      </c>
      <c r="G24" s="766">
        <v>0.4</v>
      </c>
      <c r="H24" s="766">
        <v>0.5</v>
      </c>
      <c r="I24" s="766">
        <v>0.3</v>
      </c>
      <c r="J24" s="765"/>
      <c r="K24" s="362"/>
    </row>
    <row r="25" spans="2:12" ht="12.75">
      <c r="B25" s="767" t="s">
        <v>312</v>
      </c>
      <c r="C25" s="760">
        <f>+'B. Sheet'!C$69</f>
        <v>2999.997</v>
      </c>
      <c r="D25" s="760">
        <v>0</v>
      </c>
      <c r="E25" s="760">
        <f>+'B. Sheet'!M$69</f>
        <v>2000</v>
      </c>
      <c r="F25" s="760">
        <f>+'B. Sheet'!N$69</f>
        <v>500</v>
      </c>
      <c r="G25" s="760">
        <f>+'B. Sheet'!O$69</f>
        <v>100</v>
      </c>
      <c r="H25" s="760">
        <f>+'B. Sheet'!T69</f>
        <v>0</v>
      </c>
      <c r="I25" s="760">
        <v>0</v>
      </c>
      <c r="J25" s="568">
        <f>SUM(C25:I25)</f>
        <v>5599.996999999999</v>
      </c>
      <c r="K25" s="362"/>
      <c r="L25" s="768"/>
    </row>
    <row r="26" spans="2:12" ht="12.75">
      <c r="B26" s="767" t="s">
        <v>338</v>
      </c>
      <c r="C26" s="760">
        <v>200</v>
      </c>
      <c r="D26" s="760">
        <f aca="true" t="shared" si="0" ref="D26:I26">ROUND(D25*D24,3)</f>
        <v>0</v>
      </c>
      <c r="E26" s="760">
        <f t="shared" si="0"/>
        <v>800</v>
      </c>
      <c r="F26" s="760">
        <f t="shared" si="0"/>
        <v>200</v>
      </c>
      <c r="G26" s="760">
        <f t="shared" si="0"/>
        <v>40</v>
      </c>
      <c r="H26" s="760">
        <f t="shared" si="0"/>
        <v>0</v>
      </c>
      <c r="I26" s="760">
        <f t="shared" si="0"/>
        <v>0</v>
      </c>
      <c r="J26" s="568">
        <f aca="true" t="shared" si="1" ref="J26:J33">SUM(C26:I26)</f>
        <v>1240</v>
      </c>
      <c r="K26" s="362"/>
      <c r="L26" s="768"/>
    </row>
    <row r="27" spans="2:12" ht="12.75">
      <c r="B27" s="767" t="s">
        <v>339</v>
      </c>
      <c r="C27" s="769">
        <f aca="true" t="shared" si="2" ref="C27:I27">+C25-C26</f>
        <v>2799.997</v>
      </c>
      <c r="D27" s="769">
        <f t="shared" si="2"/>
        <v>0</v>
      </c>
      <c r="E27" s="769">
        <f t="shared" si="2"/>
        <v>1200</v>
      </c>
      <c r="F27" s="769">
        <f t="shared" si="2"/>
        <v>300</v>
      </c>
      <c r="G27" s="769">
        <f t="shared" si="2"/>
        <v>60</v>
      </c>
      <c r="H27" s="769">
        <f t="shared" si="2"/>
        <v>0</v>
      </c>
      <c r="I27" s="769">
        <f t="shared" si="2"/>
        <v>0</v>
      </c>
      <c r="J27" s="568">
        <f t="shared" si="1"/>
        <v>4359.996999999999</v>
      </c>
      <c r="K27" s="362"/>
      <c r="L27" s="768"/>
    </row>
    <row r="28" spans="2:12" ht="12.75">
      <c r="B28" s="767" t="s">
        <v>313</v>
      </c>
      <c r="C28" s="760">
        <f>+'B. Sheet'!C71</f>
        <v>-17902.824</v>
      </c>
      <c r="D28" s="760">
        <v>0</v>
      </c>
      <c r="E28" s="760">
        <f>+'B. Sheet'!M71-2/1000</f>
        <v>104126.129</v>
      </c>
      <c r="F28" s="760">
        <f>+'B. Sheet'!N71</f>
        <v>18208.873</v>
      </c>
      <c r="G28" s="760">
        <f>+'B. Sheet'!O71</f>
        <v>-24.034</v>
      </c>
      <c r="H28" s="760">
        <f>+'B. Sheet'!T71</f>
        <v>0</v>
      </c>
      <c r="I28" s="760">
        <v>0</v>
      </c>
      <c r="J28" s="568">
        <f t="shared" si="1"/>
        <v>104408.14399999999</v>
      </c>
      <c r="K28" s="362"/>
      <c r="L28" s="768"/>
    </row>
    <row r="29" spans="2:12" ht="12.75">
      <c r="B29" s="767" t="s">
        <v>314</v>
      </c>
      <c r="C29" s="760">
        <f>+'B. Sheet'!C72</f>
        <v>459.34700000000026</v>
      </c>
      <c r="D29" s="760">
        <v>0</v>
      </c>
      <c r="E29" s="760">
        <f>+'B. Sheet'!M72+'B. Sheet'!M80</f>
        <v>17307.217999999997</v>
      </c>
      <c r="F29" s="760">
        <f>+'B. Sheet'!N72</f>
        <v>2003.7040000000065</v>
      </c>
      <c r="G29" s="760">
        <f>+'B. Sheet'!O72</f>
        <v>-1.204</v>
      </c>
      <c r="H29" s="760">
        <f>+'B. Sheet'!T72</f>
        <v>0</v>
      </c>
      <c r="I29" s="760">
        <v>0</v>
      </c>
      <c r="J29" s="568">
        <f t="shared" si="1"/>
        <v>19769.065000000002</v>
      </c>
      <c r="K29" s="362"/>
      <c r="L29" s="768"/>
    </row>
    <row r="30" spans="2:12" ht="12.75">
      <c r="B30" s="767" t="s">
        <v>340</v>
      </c>
      <c r="C30" s="760">
        <f>-1194.552</f>
        <v>-1194.552</v>
      </c>
      <c r="D30" s="760">
        <f aca="true" t="shared" si="3" ref="D30:I30">ROUND(D28*D24,3)</f>
        <v>0</v>
      </c>
      <c r="E30" s="760">
        <f>ROUND(E28*E24,3)</f>
        <v>41650.452</v>
      </c>
      <c r="F30" s="760">
        <f t="shared" si="3"/>
        <v>7283.549</v>
      </c>
      <c r="G30" s="760">
        <f t="shared" si="3"/>
        <v>-9.614</v>
      </c>
      <c r="H30" s="760">
        <f t="shared" si="3"/>
        <v>0</v>
      </c>
      <c r="I30" s="760">
        <f t="shared" si="3"/>
        <v>0</v>
      </c>
      <c r="J30" s="568">
        <f>SUM(C30:I30)</f>
        <v>47729.83499999999</v>
      </c>
      <c r="K30" s="362"/>
      <c r="L30" s="768"/>
    </row>
    <row r="31" spans="2:12" ht="12.75">
      <c r="B31" s="767" t="s">
        <v>341</v>
      </c>
      <c r="C31" s="760">
        <f>ROUND(C29*C24,3)+0.434</f>
        <v>31.072000000000003</v>
      </c>
      <c r="D31" s="760">
        <f aca="true" t="shared" si="4" ref="D31:I31">ROUND(D29*D24,3)</f>
        <v>0</v>
      </c>
      <c r="E31" s="760">
        <f>ROUND(E29*E24,3)</f>
        <v>6922.887</v>
      </c>
      <c r="F31" s="760">
        <f t="shared" si="4"/>
        <v>801.482</v>
      </c>
      <c r="G31" s="760">
        <f t="shared" si="4"/>
        <v>-0.482</v>
      </c>
      <c r="H31" s="760">
        <f t="shared" si="4"/>
        <v>0</v>
      </c>
      <c r="I31" s="760">
        <f t="shared" si="4"/>
        <v>0</v>
      </c>
      <c r="J31" s="568">
        <f>SUM(C31:I31)</f>
        <v>7754.959</v>
      </c>
      <c r="K31" s="362"/>
      <c r="L31" s="768"/>
    </row>
    <row r="32" spans="2:12" ht="12.75">
      <c r="B32" s="767" t="s">
        <v>342</v>
      </c>
      <c r="C32" s="760">
        <f>+'B. Sheet'!C76</f>
        <v>0</v>
      </c>
      <c r="D32" s="760">
        <f>+'B. Sheet'!G76</f>
        <v>0</v>
      </c>
      <c r="E32" s="760">
        <f>+'B. Sheet'!M76</f>
        <v>856</v>
      </c>
      <c r="F32" s="760">
        <f>+'B. Sheet'!N76</f>
        <v>1607.459</v>
      </c>
      <c r="G32" s="760">
        <f>+'B. Sheet'!O76</f>
        <v>0</v>
      </c>
      <c r="H32" s="760">
        <f>+'B. Sheet'!T76</f>
        <v>0</v>
      </c>
      <c r="I32" s="760">
        <f>'B. Sheet'!U76</f>
        <v>0</v>
      </c>
      <c r="J32" s="568">
        <f t="shared" si="1"/>
        <v>2463.459</v>
      </c>
      <c r="K32" s="362"/>
      <c r="L32" s="768"/>
    </row>
    <row r="33" spans="2:12" ht="13.5" thickBot="1">
      <c r="B33" s="767" t="s">
        <v>343</v>
      </c>
      <c r="C33" s="760">
        <f>ROUND(C32*C24,3)</f>
        <v>0</v>
      </c>
      <c r="D33" s="760">
        <f>ROUND(D32*D24,3)</f>
        <v>0</v>
      </c>
      <c r="E33" s="760">
        <v>0</v>
      </c>
      <c r="F33" s="760">
        <f>ROUND(F32*F24,3)</f>
        <v>642.984</v>
      </c>
      <c r="G33" s="760">
        <f>ROUND(G32*G24,3)</f>
        <v>0</v>
      </c>
      <c r="H33" s="760">
        <f>ROUND(H32*H24,3)</f>
        <v>0</v>
      </c>
      <c r="I33" s="760">
        <f>ROUND(I32*I24,3)</f>
        <v>0</v>
      </c>
      <c r="J33" s="568">
        <f t="shared" si="1"/>
        <v>642.984</v>
      </c>
      <c r="K33" s="362"/>
      <c r="L33" s="768"/>
    </row>
    <row r="34" spans="2:12" ht="13.5" thickTop="1">
      <c r="B34" s="770" t="s">
        <v>1215</v>
      </c>
      <c r="C34" s="771">
        <f>C30+C31</f>
        <v>-1163.48</v>
      </c>
      <c r="D34" s="771">
        <f aca="true" t="shared" si="5" ref="D34:I34">D30+D31</f>
        <v>0</v>
      </c>
      <c r="E34" s="870"/>
      <c r="F34" s="771">
        <f t="shared" si="5"/>
        <v>8085.031</v>
      </c>
      <c r="G34" s="771">
        <f>G30+G31</f>
        <v>-10.096</v>
      </c>
      <c r="H34" s="771">
        <f t="shared" si="5"/>
        <v>0</v>
      </c>
      <c r="I34" s="771">
        <f t="shared" si="5"/>
        <v>0</v>
      </c>
      <c r="J34" s="772">
        <f>SUM(C34:I34)</f>
        <v>6911.455</v>
      </c>
      <c r="K34" s="362"/>
      <c r="L34" s="768"/>
    </row>
    <row r="35" spans="2:12" ht="12.75">
      <c r="B35" s="773" t="s">
        <v>1314</v>
      </c>
      <c r="C35" s="568">
        <f>-364.745-118.518-541.127+15.029+14.809</f>
        <v>-994.5519999999999</v>
      </c>
      <c r="D35" s="568">
        <v>0</v>
      </c>
      <c r="E35" s="568">
        <v>0</v>
      </c>
      <c r="F35" s="568">
        <v>0</v>
      </c>
      <c r="G35" s="568">
        <v>0</v>
      </c>
      <c r="H35" s="568">
        <v>0</v>
      </c>
      <c r="I35" s="774">
        <v>0</v>
      </c>
      <c r="J35" s="775">
        <f>SUM(C35:I35)</f>
        <v>-994.5519999999999</v>
      </c>
      <c r="K35" s="362"/>
      <c r="L35" s="768"/>
    </row>
    <row r="36" spans="2:12" ht="13.5" thickBot="1">
      <c r="B36" s="776" t="s">
        <v>1216</v>
      </c>
      <c r="C36" s="777">
        <f>+C34+C26-C35</f>
        <v>31.07199999999989</v>
      </c>
      <c r="D36" s="777">
        <f>+D34+D26-D35</f>
        <v>0</v>
      </c>
      <c r="E36" s="777">
        <v>0</v>
      </c>
      <c r="F36" s="777">
        <v>0</v>
      </c>
      <c r="G36" s="777">
        <v>0</v>
      </c>
      <c r="H36" s="777">
        <f>+H34+H26-H35</f>
        <v>0</v>
      </c>
      <c r="I36" s="777">
        <v>0</v>
      </c>
      <c r="J36" s="778">
        <f>SUM(C36:I36)</f>
        <v>31.07199999999989</v>
      </c>
      <c r="K36" s="362"/>
      <c r="L36" s="768"/>
    </row>
    <row r="37" spans="3:9" ht="13.5" thickTop="1">
      <c r="C37" s="466"/>
      <c r="D37" s="466"/>
      <c r="E37" s="466"/>
      <c r="F37" s="466"/>
      <c r="G37" s="466"/>
      <c r="H37" s="466"/>
      <c r="I37" s="466"/>
    </row>
    <row r="38" spans="3:9" ht="12.75">
      <c r="C38" s="667"/>
      <c r="D38" s="667"/>
      <c r="E38" s="505"/>
      <c r="F38" s="667"/>
      <c r="G38" s="667"/>
      <c r="H38" s="667"/>
      <c r="I38" s="667"/>
    </row>
    <row r="39" ht="12.75">
      <c r="B39" s="463" t="s">
        <v>345</v>
      </c>
    </row>
    <row r="40" spans="6:7" ht="12.75">
      <c r="F40" s="362"/>
      <c r="G40" s="505"/>
    </row>
    <row r="41" spans="2:7" ht="13.5" thickBot="1">
      <c r="B41" s="368" t="s">
        <v>339</v>
      </c>
      <c r="D41" s="779">
        <f>+J27+C20</f>
        <v>24110.010000000002</v>
      </c>
      <c r="E41" s="368" t="s">
        <v>791</v>
      </c>
      <c r="F41" s="362"/>
      <c r="G41" s="505"/>
    </row>
    <row r="42" ht="13.5" thickTop="1">
      <c r="F42" s="362"/>
    </row>
    <row r="43" spans="2:6" ht="12.75">
      <c r="B43" s="368" t="s">
        <v>346</v>
      </c>
      <c r="F43" s="362"/>
    </row>
    <row r="44" spans="2:7" ht="12.75">
      <c r="B44" s="368" t="s">
        <v>312</v>
      </c>
      <c r="D44" s="505">
        <f>+J26</f>
        <v>1240</v>
      </c>
      <c r="E44" s="368" t="s">
        <v>790</v>
      </c>
      <c r="F44" s="362"/>
      <c r="G44" s="505"/>
    </row>
    <row r="45" spans="2:8" ht="12.75">
      <c r="B45" s="368" t="s">
        <v>347</v>
      </c>
      <c r="D45" s="505">
        <f>+J30-J35</f>
        <v>48724.386999999995</v>
      </c>
      <c r="E45" s="368" t="s">
        <v>792</v>
      </c>
      <c r="F45" s="362"/>
      <c r="G45" s="505"/>
      <c r="H45" s="667"/>
    </row>
    <row r="46" spans="2:8" ht="12.75">
      <c r="B46" s="368" t="s">
        <v>1135</v>
      </c>
      <c r="D46" s="505">
        <f>+J31-J36</f>
        <v>7723.887</v>
      </c>
      <c r="E46" s="505" t="s">
        <v>796</v>
      </c>
      <c r="F46" s="362" t="s">
        <v>794</v>
      </c>
      <c r="G46" s="505">
        <f>+D45+D49</f>
        <v>53544.990999999995</v>
      </c>
      <c r="H46" s="368" t="s">
        <v>795</v>
      </c>
    </row>
    <row r="47" spans="2:8" ht="12.75">
      <c r="B47" s="368" t="s">
        <v>378</v>
      </c>
      <c r="D47" s="505">
        <f>+J33</f>
        <v>642.984</v>
      </c>
      <c r="E47" s="667" t="s">
        <v>795</v>
      </c>
      <c r="F47" s="362" t="s">
        <v>797</v>
      </c>
      <c r="G47" s="505">
        <f>+D46+D51</f>
        <v>8337.719</v>
      </c>
      <c r="H47" s="368" t="s">
        <v>795</v>
      </c>
    </row>
    <row r="48" spans="2:7" ht="12.75">
      <c r="B48" s="368" t="s">
        <v>1322</v>
      </c>
      <c r="D48" s="505">
        <f>+FJK!K73/1000</f>
        <v>386.053</v>
      </c>
      <c r="E48" s="505" t="s">
        <v>795</v>
      </c>
      <c r="F48" s="362"/>
      <c r="G48" s="505"/>
    </row>
    <row r="49" spans="2:7" ht="12.75">
      <c r="B49" s="368" t="s">
        <v>348</v>
      </c>
      <c r="D49" s="505">
        <f>+FJK!K61/1000</f>
        <v>4820.604</v>
      </c>
      <c r="E49" s="505" t="s">
        <v>793</v>
      </c>
      <c r="F49" s="362"/>
      <c r="G49" s="505"/>
    </row>
    <row r="50" spans="2:7" ht="12.75">
      <c r="B50" s="368" t="s">
        <v>1217</v>
      </c>
      <c r="D50" s="505">
        <f>+FJK!K62/1000</f>
        <v>85.6</v>
      </c>
      <c r="E50" s="505" t="s">
        <v>795</v>
      </c>
      <c r="F50" s="362"/>
      <c r="G50" s="505"/>
    </row>
    <row r="51" spans="2:7" ht="12.75">
      <c r="B51" s="368" t="s">
        <v>1136</v>
      </c>
      <c r="D51" s="505">
        <f>+FJK!K64/1000</f>
        <v>613.832</v>
      </c>
      <c r="E51" s="505" t="s">
        <v>796</v>
      </c>
      <c r="F51" s="362"/>
      <c r="G51" s="505"/>
    </row>
    <row r="52" spans="2:7" ht="12.75">
      <c r="B52" s="368" t="s">
        <v>1323</v>
      </c>
      <c r="D52" s="505">
        <f>+FJK!K65/1000</f>
        <v>-61.383</v>
      </c>
      <c r="F52" s="362"/>
      <c r="G52" s="505"/>
    </row>
    <row r="53" spans="4:7" ht="12.75">
      <c r="D53" s="505"/>
      <c r="F53" s="362"/>
      <c r="G53" s="505"/>
    </row>
    <row r="54" spans="2:8" ht="12.75">
      <c r="B54" s="368" t="s">
        <v>1320</v>
      </c>
      <c r="D54" s="505">
        <f>+FJK!K66/1000-D53</f>
        <v>-2095.83</v>
      </c>
      <c r="E54" s="505" t="s">
        <v>798</v>
      </c>
      <c r="F54" s="362" t="s">
        <v>799</v>
      </c>
      <c r="G54" s="505">
        <f>+D54+D56</f>
        <v>-2095.83</v>
      </c>
      <c r="H54" s="368" t="s">
        <v>795</v>
      </c>
    </row>
    <row r="55" spans="2:7" ht="12.75">
      <c r="B55" s="368" t="s">
        <v>875</v>
      </c>
      <c r="D55" s="505">
        <f>FJK!K67/1000</f>
        <v>-364.549</v>
      </c>
      <c r="F55" s="362"/>
      <c r="G55" s="505"/>
    </row>
    <row r="56" spans="2:7" ht="12.75">
      <c r="B56" s="368" t="s">
        <v>53</v>
      </c>
      <c r="D56" s="505">
        <f>+FJK!K68/1000</f>
        <v>0</v>
      </c>
      <c r="E56" s="505" t="s">
        <v>798</v>
      </c>
      <c r="F56" s="362"/>
      <c r="G56" s="505"/>
    </row>
    <row r="57" spans="2:7" ht="13.5" thickBot="1">
      <c r="B57" s="368" t="s">
        <v>329</v>
      </c>
      <c r="D57" s="780">
        <f>SUM(D44:D56)</f>
        <v>61715.58499999999</v>
      </c>
      <c r="F57" s="361"/>
      <c r="G57" s="505"/>
    </row>
    <row r="58" ht="13.5" thickTop="1"/>
    <row r="62" spans="1:14" ht="12.75">
      <c r="A62" s="989" t="s">
        <v>654</v>
      </c>
      <c r="B62" s="384"/>
      <c r="C62" s="384"/>
      <c r="D62" s="384"/>
      <c r="E62" s="990"/>
      <c r="F62" s="420"/>
      <c r="G62" s="420"/>
      <c r="H62" s="420"/>
      <c r="I62" s="420"/>
      <c r="J62" s="420"/>
      <c r="K62" s="420"/>
      <c r="L62" s="420"/>
      <c r="M62" s="420"/>
      <c r="N62" s="420"/>
    </row>
    <row r="63" spans="1:14" ht="12.75">
      <c r="A63" s="991"/>
      <c r="B63" s="420"/>
      <c r="C63" s="420"/>
      <c r="D63" s="986" t="s">
        <v>365</v>
      </c>
      <c r="E63" s="992" t="s">
        <v>366</v>
      </c>
      <c r="F63" s="420"/>
      <c r="G63" s="420"/>
      <c r="H63" s="420"/>
      <c r="I63" s="420"/>
      <c r="J63" s="420"/>
      <c r="K63" s="420"/>
      <c r="L63" s="420"/>
      <c r="M63" s="420"/>
      <c r="N63" s="420"/>
    </row>
    <row r="64" spans="1:14" ht="12.75">
      <c r="A64" s="991"/>
      <c r="B64" s="420"/>
      <c r="C64" s="420"/>
      <c r="D64" s="986" t="s">
        <v>317</v>
      </c>
      <c r="E64" s="992" t="s">
        <v>317</v>
      </c>
      <c r="F64" s="420"/>
      <c r="G64" s="420"/>
      <c r="H64" s="420"/>
      <c r="I64" s="420"/>
      <c r="J64" s="420"/>
      <c r="K64" s="420"/>
      <c r="L64" s="420"/>
      <c r="M64" s="420"/>
      <c r="N64" s="420"/>
    </row>
    <row r="65" spans="1:14" ht="12.75">
      <c r="A65" s="993" t="s">
        <v>384</v>
      </c>
      <c r="B65" s="420"/>
      <c r="C65" s="984"/>
      <c r="D65" s="984"/>
      <c r="E65" s="994"/>
      <c r="F65" s="984"/>
      <c r="G65" s="984"/>
      <c r="H65" s="984"/>
      <c r="I65" s="984"/>
      <c r="J65" s="984"/>
      <c r="K65" s="420"/>
      <c r="L65" s="420"/>
      <c r="M65" s="420"/>
      <c r="N65" s="420"/>
    </row>
    <row r="66" spans="1:14" ht="12.75">
      <c r="A66" s="991" t="s">
        <v>666</v>
      </c>
      <c r="B66" s="420"/>
      <c r="C66" s="412"/>
      <c r="D66" s="412">
        <f>+D41*1000</f>
        <v>24110010.000000004</v>
      </c>
      <c r="E66" s="995"/>
      <c r="F66" s="412"/>
      <c r="G66" s="412"/>
      <c r="H66" s="412"/>
      <c r="I66" s="412"/>
      <c r="J66" s="412"/>
      <c r="K66" s="420"/>
      <c r="L66" s="420"/>
      <c r="M66" s="420"/>
      <c r="N66" s="420"/>
    </row>
    <row r="67" spans="1:14" ht="12.75">
      <c r="A67" s="996" t="s">
        <v>667</v>
      </c>
      <c r="B67" s="420"/>
      <c r="C67" s="412"/>
      <c r="D67" s="412">
        <f>+goodwill!G20*1000</f>
        <v>896040</v>
      </c>
      <c r="E67" s="995"/>
      <c r="F67" s="412"/>
      <c r="G67" s="412"/>
      <c r="H67" s="412"/>
      <c r="I67" s="412"/>
      <c r="J67" s="412"/>
      <c r="K67" s="420"/>
      <c r="L67" s="420"/>
      <c r="M67" s="420"/>
      <c r="N67" s="420"/>
    </row>
    <row r="68" spans="1:14" ht="12.75">
      <c r="A68" s="997" t="s">
        <v>668</v>
      </c>
      <c r="B68" s="420"/>
      <c r="C68" s="412"/>
      <c r="D68" s="412">
        <v>385734</v>
      </c>
      <c r="E68" s="995"/>
      <c r="F68" s="412"/>
      <c r="G68" s="412"/>
      <c r="H68" s="412"/>
      <c r="I68" s="412"/>
      <c r="J68" s="412"/>
      <c r="K68" s="420"/>
      <c r="L68" s="420"/>
      <c r="M68" s="420"/>
      <c r="N68" s="420"/>
    </row>
    <row r="69" spans="1:14" ht="12.75">
      <c r="A69" s="996" t="s">
        <v>669</v>
      </c>
      <c r="B69" s="420"/>
      <c r="C69" s="412"/>
      <c r="D69" s="412"/>
      <c r="E69" s="995">
        <v>25391784</v>
      </c>
      <c r="F69" s="412"/>
      <c r="G69" s="412"/>
      <c r="H69" s="412"/>
      <c r="I69" s="412"/>
      <c r="J69" s="412"/>
      <c r="K69" s="420"/>
      <c r="L69" s="420"/>
      <c r="M69" s="420"/>
      <c r="N69" s="420"/>
    </row>
    <row r="70" spans="1:14" ht="12.75" hidden="1">
      <c r="A70" s="998"/>
      <c r="B70" s="420"/>
      <c r="C70" s="412"/>
      <c r="D70" s="412"/>
      <c r="E70" s="995"/>
      <c r="F70" s="412"/>
      <c r="G70" s="412"/>
      <c r="H70" s="412"/>
      <c r="I70" s="412"/>
      <c r="J70" s="985"/>
      <c r="K70" s="420"/>
      <c r="L70" s="420"/>
      <c r="M70" s="420"/>
      <c r="N70" s="420"/>
    </row>
    <row r="71" spans="1:14" ht="12.75" hidden="1">
      <c r="A71" s="999"/>
      <c r="B71" s="420"/>
      <c r="C71" s="412"/>
      <c r="D71" s="412"/>
      <c r="E71" s="995"/>
      <c r="F71" s="412"/>
      <c r="G71" s="412"/>
      <c r="H71" s="412"/>
      <c r="I71" s="412"/>
      <c r="J71" s="412"/>
      <c r="K71" s="420"/>
      <c r="L71" s="420"/>
      <c r="M71" s="420"/>
      <c r="N71" s="420"/>
    </row>
    <row r="72" spans="1:14" ht="13.5" thickBot="1">
      <c r="A72" s="998"/>
      <c r="B72" s="420"/>
      <c r="C72" s="412"/>
      <c r="D72" s="987">
        <f>SUM(D66:D71)</f>
        <v>25391784.000000004</v>
      </c>
      <c r="E72" s="1000">
        <f>SUM(E69:E71)</f>
        <v>25391784</v>
      </c>
      <c r="F72" s="412"/>
      <c r="G72" s="412"/>
      <c r="H72" s="412"/>
      <c r="I72" s="412"/>
      <c r="J72" s="412"/>
      <c r="K72" s="420"/>
      <c r="L72" s="420"/>
      <c r="M72" s="420"/>
      <c r="N72" s="420"/>
    </row>
    <row r="73" spans="1:14" ht="13.5" thickTop="1">
      <c r="A73" s="997" t="s">
        <v>670</v>
      </c>
      <c r="B73" s="420"/>
      <c r="C73" s="412"/>
      <c r="D73" s="412"/>
      <c r="E73" s="995"/>
      <c r="F73" s="412"/>
      <c r="G73" s="412"/>
      <c r="H73" s="412"/>
      <c r="I73" s="412"/>
      <c r="J73" s="412"/>
      <c r="K73" s="420"/>
      <c r="L73" s="420"/>
      <c r="M73" s="420"/>
      <c r="N73" s="420"/>
    </row>
    <row r="74" spans="1:14" ht="12.75">
      <c r="A74" s="991"/>
      <c r="B74" s="420"/>
      <c r="C74" s="420"/>
      <c r="D74" s="412"/>
      <c r="E74" s="995"/>
      <c r="F74" s="412"/>
      <c r="G74" s="412"/>
      <c r="H74" s="412"/>
      <c r="I74" s="412"/>
      <c r="J74" s="420"/>
      <c r="K74" s="420"/>
      <c r="L74" s="420"/>
      <c r="M74" s="420"/>
      <c r="N74" s="420"/>
    </row>
    <row r="75" spans="1:5" ht="12.75">
      <c r="A75" s="991"/>
      <c r="B75" s="420"/>
      <c r="C75" s="420"/>
      <c r="D75" s="420"/>
      <c r="E75" s="1001"/>
    </row>
    <row r="76" spans="1:5" ht="12.75">
      <c r="A76" s="1002" t="s">
        <v>389</v>
      </c>
      <c r="B76" s="420"/>
      <c r="C76" s="420"/>
      <c r="D76" s="420"/>
      <c r="E76" s="1001"/>
    </row>
    <row r="77" spans="1:5" ht="12.75">
      <c r="A77" s="991" t="s">
        <v>671</v>
      </c>
      <c r="B77" s="420"/>
      <c r="C77" s="420"/>
      <c r="D77" s="448">
        <v>3265000</v>
      </c>
      <c r="E77" s="1003"/>
    </row>
    <row r="78" spans="1:5" ht="12.75">
      <c r="A78" s="991" t="s">
        <v>1003</v>
      </c>
      <c r="B78" s="420"/>
      <c r="C78" s="420"/>
      <c r="D78" s="448"/>
      <c r="E78" s="1003">
        <v>3265000</v>
      </c>
    </row>
    <row r="79" spans="1:5" ht="13.5" thickBot="1">
      <c r="A79" s="991"/>
      <c r="B79" s="420"/>
      <c r="C79" s="420"/>
      <c r="D79" s="988">
        <f>SUM(D77:D78)</f>
        <v>3265000</v>
      </c>
      <c r="E79" s="1004">
        <f>SUM(E78)</f>
        <v>3265000</v>
      </c>
    </row>
    <row r="80" spans="1:5" ht="13.5" thickTop="1">
      <c r="A80" s="1005" t="s">
        <v>391</v>
      </c>
      <c r="B80" s="420"/>
      <c r="C80" s="420"/>
      <c r="D80" s="448"/>
      <c r="E80" s="1003"/>
    </row>
    <row r="81" spans="1:5" ht="12.75">
      <c r="A81" s="991"/>
      <c r="B81" s="420"/>
      <c r="C81" s="420"/>
      <c r="D81" s="448"/>
      <c r="E81" s="1003"/>
    </row>
    <row r="82" spans="1:5" ht="12.75">
      <c r="A82" s="991"/>
      <c r="B82" s="420"/>
      <c r="C82" s="420"/>
      <c r="D82" s="448"/>
      <c r="E82" s="1003"/>
    </row>
    <row r="83" spans="1:5" ht="12.75">
      <c r="A83" s="1002" t="s">
        <v>392</v>
      </c>
      <c r="B83" s="420"/>
      <c r="C83" s="420"/>
      <c r="D83" s="448"/>
      <c r="E83" s="1003"/>
    </row>
    <row r="84" spans="1:5" ht="12.75">
      <c r="A84" s="991" t="s">
        <v>338</v>
      </c>
      <c r="B84" s="420"/>
      <c r="C84" s="420"/>
      <c r="D84" s="448">
        <f>+D44*1000</f>
        <v>1240000</v>
      </c>
      <c r="E84" s="1003"/>
    </row>
    <row r="85" spans="1:5" ht="12.75">
      <c r="A85" s="991" t="s">
        <v>657</v>
      </c>
      <c r="B85" s="420"/>
      <c r="C85" s="420"/>
      <c r="D85" s="448">
        <f>+(D45+D49)*1000</f>
        <v>53544990.99999999</v>
      </c>
      <c r="E85" s="1003"/>
    </row>
    <row r="86" spans="1:5" ht="12.75">
      <c r="A86" s="991" t="s">
        <v>672</v>
      </c>
      <c r="B86" s="420"/>
      <c r="C86" s="420"/>
      <c r="D86" s="448">
        <f>+(D46+D51)*1000</f>
        <v>8337718.999999999</v>
      </c>
      <c r="E86" s="1003"/>
    </row>
    <row r="87" spans="1:5" ht="12.75">
      <c r="A87" s="991" t="s">
        <v>673</v>
      </c>
      <c r="B87" s="420"/>
      <c r="C87" s="420"/>
      <c r="D87" s="448">
        <f>+D50*1000</f>
        <v>85600</v>
      </c>
      <c r="E87" s="1003"/>
    </row>
    <row r="88" spans="1:5" ht="12.75">
      <c r="A88" s="991" t="s">
        <v>674</v>
      </c>
      <c r="B88" s="420"/>
      <c r="C88" s="420"/>
      <c r="D88" s="448">
        <f>+D47*1000</f>
        <v>642984</v>
      </c>
      <c r="E88" s="1003"/>
    </row>
    <row r="89" spans="1:5" ht="12.75">
      <c r="A89" s="991" t="s">
        <v>675</v>
      </c>
      <c r="B89" s="420"/>
      <c r="C89" s="420"/>
      <c r="D89" s="448">
        <f>+D48*1000</f>
        <v>386053</v>
      </c>
      <c r="E89" s="1003"/>
    </row>
    <row r="90" spans="1:5" ht="12.75">
      <c r="A90" s="991" t="s">
        <v>676</v>
      </c>
      <c r="B90" s="420"/>
      <c r="C90" s="420"/>
      <c r="D90" s="448"/>
      <c r="E90" s="1003">
        <f>-+D54*1000</f>
        <v>2095830</v>
      </c>
    </row>
    <row r="91" spans="1:5" ht="12.75">
      <c r="A91" s="991" t="s">
        <v>369</v>
      </c>
      <c r="B91" s="420"/>
      <c r="C91" s="420"/>
      <c r="D91" s="448"/>
      <c r="E91" s="1003">
        <f>+D92-E90</f>
        <v>62141516.99999999</v>
      </c>
    </row>
    <row r="92" spans="1:5" ht="13.5" thickBot="1">
      <c r="A92" s="991"/>
      <c r="B92" s="420"/>
      <c r="C92" s="420"/>
      <c r="D92" s="988">
        <f>SUM(D84:D91)</f>
        <v>64237346.99999999</v>
      </c>
      <c r="E92" s="1004">
        <f>SUM(E90:E91)</f>
        <v>64237346.99999999</v>
      </c>
    </row>
    <row r="93" spans="1:5" ht="13.5" thickTop="1">
      <c r="A93" s="1005" t="s">
        <v>677</v>
      </c>
      <c r="B93" s="420"/>
      <c r="C93" s="420"/>
      <c r="D93" s="448"/>
      <c r="E93" s="1003"/>
    </row>
    <row r="94" spans="1:5" ht="12.75">
      <c r="A94" s="991"/>
      <c r="B94" s="420"/>
      <c r="C94" s="420"/>
      <c r="D94" s="448"/>
      <c r="E94" s="1003"/>
    </row>
    <row r="95" spans="1:5" ht="12.75">
      <c r="A95" s="991"/>
      <c r="B95" s="420"/>
      <c r="C95" s="420"/>
      <c r="D95" s="448"/>
      <c r="E95" s="1003"/>
    </row>
    <row r="96" spans="1:5" ht="12.75">
      <c r="A96" s="1002" t="s">
        <v>398</v>
      </c>
      <c r="B96" s="420"/>
      <c r="C96" s="420"/>
      <c r="D96" s="448"/>
      <c r="E96" s="1003"/>
    </row>
    <row r="97" spans="1:6" ht="12.75">
      <c r="A97" s="991" t="s">
        <v>678</v>
      </c>
      <c r="B97" s="420"/>
      <c r="C97" s="420"/>
      <c r="D97" s="448">
        <v>385734</v>
      </c>
      <c r="E97" s="1003"/>
      <c r="F97" s="447"/>
    </row>
    <row r="98" spans="1:6" ht="12.75">
      <c r="A98" s="991" t="s">
        <v>679</v>
      </c>
      <c r="B98" s="420"/>
      <c r="C98" s="420"/>
      <c r="D98" s="448"/>
      <c r="E98" s="1003">
        <v>385734</v>
      </c>
      <c r="F98" s="447"/>
    </row>
    <row r="99" spans="1:6" ht="13.5" thickBot="1">
      <c r="A99" s="991"/>
      <c r="B99" s="420"/>
      <c r="C99" s="420"/>
      <c r="D99" s="988">
        <f>SUM(D97:D98)</f>
        <v>385734</v>
      </c>
      <c r="E99" s="1004">
        <f>SUM(E98)</f>
        <v>385734</v>
      </c>
      <c r="F99" s="447"/>
    </row>
    <row r="100" spans="1:6" ht="13.5" thickTop="1">
      <c r="A100" s="991" t="s">
        <v>680</v>
      </c>
      <c r="B100" s="420"/>
      <c r="C100" s="420"/>
      <c r="D100" s="448"/>
      <c r="E100" s="1003"/>
      <c r="F100" s="447"/>
    </row>
    <row r="101" spans="1:6" ht="12.75">
      <c r="A101" s="1006"/>
      <c r="B101" s="1007"/>
      <c r="C101" s="1007"/>
      <c r="D101" s="1008"/>
      <c r="E101" s="1009"/>
      <c r="F101" s="447"/>
    </row>
    <row r="102" spans="4:6" ht="12.75">
      <c r="D102" s="447"/>
      <c r="E102" s="447"/>
      <c r="F102" s="447"/>
    </row>
    <row r="103" spans="4:6" ht="12.75">
      <c r="D103" s="447"/>
      <c r="E103" s="447"/>
      <c r="F103" s="447"/>
    </row>
    <row r="104" spans="4:6" ht="12.75">
      <c r="D104" s="447"/>
      <c r="E104" s="447"/>
      <c r="F104" s="447"/>
    </row>
    <row r="105" spans="4:6" ht="12.75">
      <c r="D105" s="447"/>
      <c r="E105" s="447"/>
      <c r="F105" s="447"/>
    </row>
  </sheetData>
  <printOptions/>
  <pageMargins left="0.75" right="0.25" top="0.5" bottom="0" header="0.32" footer="0.21"/>
  <pageSetup horizontalDpi="300" verticalDpi="300" orientation="portrait" paperSize="9" scale="70" r:id="rId4"/>
  <headerFooter alignWithMargins="0">
    <oddHeader>&amp;C&amp;"Times New Roman,Bold"
&amp;R&amp;D  &amp;T</oddHeader>
  </headerFooter>
  <rowBreaks count="1" manualBreakCount="1">
    <brk id="60" max="9" man="1"/>
  </rowBreaks>
  <drawing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N36"/>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9" sqref="A9"/>
    </sheetView>
  </sheetViews>
  <sheetFormatPr defaultColWidth="9.140625" defaultRowHeight="12.75"/>
  <cols>
    <col min="1" max="1" width="24.28125" style="2" customWidth="1"/>
    <col min="2" max="2" width="12.140625" style="2" customWidth="1"/>
    <col min="3" max="3" width="11.57421875" style="2" customWidth="1"/>
    <col min="4" max="4" width="12.28125" style="2" customWidth="1"/>
    <col min="5" max="5" width="11.8515625" style="2" bestFit="1" customWidth="1"/>
    <col min="6" max="6" width="11.8515625" style="2" customWidth="1"/>
    <col min="7" max="7" width="11.8515625" style="2" bestFit="1" customWidth="1"/>
    <col min="8" max="8" width="13.8515625" style="2" customWidth="1"/>
    <col min="9" max="9" width="11.8515625" style="2" bestFit="1" customWidth="1"/>
    <col min="10" max="11" width="12.28125" style="2" customWidth="1"/>
    <col min="12" max="12" width="9.57421875" style="2" bestFit="1" customWidth="1"/>
    <col min="13" max="13" width="9.140625" style="2" bestFit="1" customWidth="1"/>
    <col min="14" max="16384" width="8.8515625" style="2" customWidth="1"/>
  </cols>
  <sheetData>
    <row r="1" ht="12.75">
      <c r="A1" s="60" t="s">
        <v>888</v>
      </c>
    </row>
    <row r="2" ht="12.75">
      <c r="A2" s="60" t="s">
        <v>1634</v>
      </c>
    </row>
    <row r="4" ht="12.75">
      <c r="A4" s="19" t="s">
        <v>889</v>
      </c>
    </row>
    <row r="6" spans="2:11" ht="12.75">
      <c r="B6" s="1134" t="s">
        <v>612</v>
      </c>
      <c r="C6" s="1134"/>
      <c r="D6" s="1134" t="s">
        <v>613</v>
      </c>
      <c r="E6" s="1134"/>
      <c r="F6" s="1133" t="s">
        <v>12</v>
      </c>
      <c r="G6" s="1133"/>
      <c r="H6" s="1133" t="s">
        <v>248</v>
      </c>
      <c r="I6" s="1133"/>
      <c r="J6" s="1133" t="s">
        <v>868</v>
      </c>
      <c r="K6" s="1133"/>
    </row>
    <row r="7" spans="2:11" ht="12.75">
      <c r="B7" s="9">
        <v>2007</v>
      </c>
      <c r="C7" s="9">
        <v>2006</v>
      </c>
      <c r="D7" s="9">
        <f>+B7</f>
        <v>2007</v>
      </c>
      <c r="E7" s="9">
        <f>+C7</f>
        <v>2006</v>
      </c>
      <c r="F7" s="9">
        <f>+D7</f>
        <v>2007</v>
      </c>
      <c r="G7" s="9">
        <f>+E7</f>
        <v>2006</v>
      </c>
      <c r="H7" s="9">
        <f>+D7</f>
        <v>2007</v>
      </c>
      <c r="I7" s="9">
        <f>+E7</f>
        <v>2006</v>
      </c>
      <c r="J7" s="9">
        <f>+F7</f>
        <v>2007</v>
      </c>
      <c r="K7" s="9">
        <f>+G7</f>
        <v>2006</v>
      </c>
    </row>
    <row r="8" ht="12.75">
      <c r="A8" s="60" t="s">
        <v>10</v>
      </c>
    </row>
    <row r="9" spans="1:11" ht="12.75">
      <c r="A9" s="2" t="s">
        <v>11</v>
      </c>
      <c r="B9" s="1">
        <f>+segYTD!B28</f>
        <v>244768.809</v>
      </c>
      <c r="C9" s="296">
        <v>229158.373</v>
      </c>
      <c r="D9" s="1">
        <f>+segYTD!B46</f>
        <v>1056.506</v>
      </c>
      <c r="E9" s="296">
        <v>2105.15</v>
      </c>
      <c r="F9" s="67">
        <f>+segYTD!B63</f>
        <v>1166.01</v>
      </c>
      <c r="G9" s="296">
        <v>2002.033</v>
      </c>
      <c r="H9" s="1">
        <f>+segYTD!D65</f>
        <v>-31265.1623</v>
      </c>
      <c r="I9" s="296">
        <v>-22037.179</v>
      </c>
      <c r="J9" s="67">
        <f>+B9+D9+F9+H9</f>
        <v>215726.16270000002</v>
      </c>
      <c r="K9" s="211">
        <f>+C9+E9+G9+I9</f>
        <v>211228.37699999998</v>
      </c>
    </row>
    <row r="11" spans="1:3" ht="12.75">
      <c r="A11" s="60" t="s">
        <v>13</v>
      </c>
      <c r="C11" s="67"/>
    </row>
    <row r="12" spans="1:11" ht="12.75">
      <c r="A12" s="2" t="s">
        <v>14</v>
      </c>
      <c r="B12" s="1">
        <f>segYTD!G28-B13</f>
        <v>22064.850000000002</v>
      </c>
      <c r="C12" s="296">
        <v>26012.051</v>
      </c>
      <c r="D12" s="1">
        <f>segYTD!G46-D13</f>
        <v>720.7100000000003</v>
      </c>
      <c r="E12" s="296">
        <v>229038</v>
      </c>
      <c r="F12" s="1">
        <f>+segYTD!G63-F13</f>
        <v>2309.075</v>
      </c>
      <c r="G12" s="296">
        <v>742.502</v>
      </c>
      <c r="H12" s="1">
        <f>+segYTD!I65-H13</f>
        <v>-690.7927999999995</v>
      </c>
      <c r="I12" s="296">
        <v>-1890.275</v>
      </c>
      <c r="J12" s="1">
        <f>+B12+D12+F12+H12</f>
        <v>24403.842200000003</v>
      </c>
      <c r="K12" s="296">
        <f>+C12+E12+G12+I12</f>
        <v>253902.27800000002</v>
      </c>
    </row>
    <row r="13" spans="1:11" ht="12.75">
      <c r="A13" s="2" t="s">
        <v>1356</v>
      </c>
      <c r="B13" s="1">
        <f>-'P&amp;L'!K48-'P&amp;L'!L48-'P&amp;L'!H48-'P&amp;L'!I48</f>
        <v>-74.577</v>
      </c>
      <c r="C13" s="296">
        <v>-34.023</v>
      </c>
      <c r="D13" s="1">
        <f>-'P&amp;L'!C48-'P&amp;L'!D48-'P&amp;L'!D49-'P&amp;L'!E48-'P&amp;L'!F48-'P&amp;L'!F49-'P&amp;L'!G48-'P&amp;L'!J48-'P&amp;L'!N48-'P&amp;L'!O48-'P&amp;L'!C55-'P&amp;L'!D55-'P&amp;L'!E55</f>
        <v>-236.422</v>
      </c>
      <c r="E13" s="296">
        <v>-244.511</v>
      </c>
      <c r="F13" s="1">
        <f>-'P&amp;L'!B48-'P&amp;L'!B49-'P&amp;L'!B50-'P&amp;L'!B55</f>
        <v>-1229.0149999999999</v>
      </c>
      <c r="G13" s="296">
        <v>-1164.954</v>
      </c>
      <c r="H13" s="1">
        <f>-'P&amp;L'!X55</f>
        <v>416</v>
      </c>
      <c r="I13" s="296">
        <v>0</v>
      </c>
      <c r="J13" s="1">
        <f>+B13+D13+F13+H13</f>
        <v>-1124.014</v>
      </c>
      <c r="K13" s="296">
        <f>+C13+E13+G13+I13</f>
        <v>-1443.4879999999998</v>
      </c>
    </row>
    <row r="14" spans="1:13" ht="12.75">
      <c r="A14" s="2" t="s">
        <v>15</v>
      </c>
      <c r="F14" s="1">
        <f>+segYTD!J67</f>
        <v>1280.2894999999999</v>
      </c>
      <c r="G14" s="296">
        <v>1623.248</v>
      </c>
      <c r="H14" s="296"/>
      <c r="I14" s="296"/>
      <c r="J14" s="105">
        <f>+B14+D14+F14</f>
        <v>1280.2894999999999</v>
      </c>
      <c r="K14" s="318">
        <f>+C14+E14+G14</f>
        <v>1623.248</v>
      </c>
      <c r="L14" s="67"/>
      <c r="M14" s="67"/>
    </row>
    <row r="15" spans="2:9" ht="12.75">
      <c r="B15" s="67"/>
      <c r="D15" s="67"/>
      <c r="F15" s="67"/>
      <c r="I15" s="67"/>
    </row>
    <row r="16" spans="1:11" ht="25.5">
      <c r="A16" s="13" t="s">
        <v>16</v>
      </c>
      <c r="J16" s="1">
        <f>SUM(J12:J15)</f>
        <v>24560.117700000003</v>
      </c>
      <c r="K16" s="296">
        <v>25273.076</v>
      </c>
    </row>
    <row r="17" spans="1:11" ht="12.75">
      <c r="A17" s="2" t="s">
        <v>829</v>
      </c>
      <c r="J17" s="105">
        <f>+'P&amp;L'!Y76</f>
        <v>-3368.596</v>
      </c>
      <c r="K17" s="612">
        <v>-128.725</v>
      </c>
    </row>
    <row r="19" spans="1:11" ht="25.5">
      <c r="A19" s="13" t="s">
        <v>18</v>
      </c>
      <c r="J19" s="67">
        <f>SUM(J16:J18)</f>
        <v>21191.5217</v>
      </c>
      <c r="K19" s="211">
        <v>25144.351</v>
      </c>
    </row>
    <row r="20" spans="1:11" ht="12.75">
      <c r="A20" s="2" t="s">
        <v>19</v>
      </c>
      <c r="J20" s="1">
        <f>+'P&amp;L'!Y81</f>
        <v>-7966.832</v>
      </c>
      <c r="K20" s="613">
        <v>-8622.927</v>
      </c>
    </row>
    <row r="21" spans="1:11" ht="13.5" thickBot="1">
      <c r="A21" s="13" t="s">
        <v>20</v>
      </c>
      <c r="J21" s="281">
        <f>SUM(J19:J20)</f>
        <v>13224.6897</v>
      </c>
      <c r="K21" s="614">
        <f>SUM(K19:K20)</f>
        <v>16521.424</v>
      </c>
    </row>
    <row r="24" ht="12.75">
      <c r="A24" s="60" t="s">
        <v>21</v>
      </c>
    </row>
    <row r="26" spans="1:14" ht="12.75">
      <c r="A26" s="2" t="s">
        <v>22</v>
      </c>
      <c r="B26" s="1">
        <f>+segYTD!L28</f>
        <v>169125.7431</v>
      </c>
      <c r="C26" s="296">
        <v>155426.003</v>
      </c>
      <c r="D26" s="1">
        <f>+segYTD!L46</f>
        <v>12848.784</v>
      </c>
      <c r="E26" s="296">
        <v>15104.746</v>
      </c>
      <c r="F26" s="1">
        <f>+segYTD!L63+segYTD!O67</f>
        <v>101465.34338999998</v>
      </c>
      <c r="G26" s="296">
        <v>19274.699</v>
      </c>
      <c r="H26" s="1">
        <f>+segYTD!N28+segYTD!N46+segYTD!N63</f>
        <v>-104293.4051</v>
      </c>
      <c r="I26" s="296">
        <v>-24292.977</v>
      </c>
      <c r="J26" s="1">
        <f>+B26+D26+F26+H26</f>
        <v>179146.46539</v>
      </c>
      <c r="K26" s="296">
        <f>+C26+E26+G26+I26</f>
        <v>165512.47100000002</v>
      </c>
      <c r="M26" s="322"/>
      <c r="N26" s="178"/>
    </row>
    <row r="27" spans="2:11" ht="12.75">
      <c r="B27" s="1"/>
      <c r="C27" s="1"/>
      <c r="D27" s="1"/>
      <c r="E27" s="1"/>
      <c r="F27" s="1"/>
      <c r="H27" s="166"/>
      <c r="K27" s="174"/>
    </row>
    <row r="28" spans="1:11" ht="12.75">
      <c r="A28" s="2" t="s">
        <v>23</v>
      </c>
      <c r="B28" s="1">
        <f>+'B. Sheet'!G59+'B. Sheet'!H59+'B. Sheet'!M59+'B. Sheet'!N59+'B. Sheet'!G88+'B. Sheet'!G90+'B. Sheet'!H88+'B. Sheet'!H90+'B. Sheet'!M88+'B. Sheet'!M90+'B. Sheet'!N88+'B. Sheet'!N90</f>
        <v>21873.3381</v>
      </c>
      <c r="C28" s="296">
        <v>26908.303</v>
      </c>
      <c r="D28" s="1">
        <f>+'B. Sheet'!B59+'B. Sheet'!C59+'B. Sheet'!D59+'B. Sheet'!E59+'B. Sheet'!F59+'B. Sheet'!I59+'B. Sheet'!P59+'B. Sheet'!Q59+'B. Sheet'!B88+'B. Sheet'!B90+'B. Sheet'!C88+'B. Sheet'!C90+'B. Sheet'!D88+'B. Sheet'!D90+'B. Sheet'!E88+'B. Sheet'!E90+'B. Sheet'!F88+'B. Sheet'!F90+'B. Sheet'!I88+'B. Sheet'!I90+'B. Sheet'!P88+'B. Sheet'!P90+'B. Sheet'!Q88+'B. Sheet'!Q90</f>
        <v>12651.997</v>
      </c>
      <c r="E28" s="296">
        <v>13884.536</v>
      </c>
      <c r="F28" s="1">
        <f>+'B. Sheet'!K59+'B. Sheet'!O59+'B. Sheet'!R59+'B. Sheet'!S59+'B. Sheet'!T59+'B. Sheet'!V59+'B. Sheet'!K88+'B. Sheet'!K90+'B. Sheet'!O88+'B. Sheet'!O90+'B. Sheet'!R88+'B. Sheet'!R90+'B. Sheet'!S88+'B. Sheet'!S90+'B. Sheet'!T88+'B. Sheet'!T90+'B. Sheet'!V88+'B. Sheet'!V90+'B. Sheet'!U59+'B. Sheet'!U88+'B. Sheet'!U90</f>
        <v>8818.101</v>
      </c>
      <c r="G28" s="296">
        <v>12107.808</v>
      </c>
      <c r="H28" s="1">
        <f>+'B. Sheet'!Y59+'B. Sheet'!Y88+'B. Sheet'!Y90</f>
        <v>-10112.307</v>
      </c>
      <c r="I28" s="296">
        <v>-10829.853</v>
      </c>
      <c r="J28" s="1">
        <f>+B28+D28+F28+H28</f>
        <v>33231.1291</v>
      </c>
      <c r="K28" s="296">
        <f>+C28+E28+G28+I28</f>
        <v>42070.793999999994</v>
      </c>
    </row>
    <row r="29" spans="1:11" ht="12.75">
      <c r="A29" s="2" t="s">
        <v>24</v>
      </c>
      <c r="J29" s="1">
        <f>+'B. Sheet'!Z84</f>
        <v>61763.886999999995</v>
      </c>
      <c r="K29" s="613">
        <v>53797.055</v>
      </c>
    </row>
    <row r="30" spans="2:14" ht="13.5" thickBot="1">
      <c r="B30" s="281">
        <f aca="true" t="shared" si="0" ref="B30:K30">SUM(B28:B29)</f>
        <v>21873.3381</v>
      </c>
      <c r="C30" s="281">
        <f t="shared" si="0"/>
        <v>26908.303</v>
      </c>
      <c r="D30" s="281">
        <f t="shared" si="0"/>
        <v>12651.997</v>
      </c>
      <c r="E30" s="281">
        <f t="shared" si="0"/>
        <v>13884.536</v>
      </c>
      <c r="F30" s="281">
        <f t="shared" si="0"/>
        <v>8818.101</v>
      </c>
      <c r="G30" s="281">
        <f t="shared" si="0"/>
        <v>12107.808</v>
      </c>
      <c r="H30" s="281">
        <f>SUM(H28:H29)</f>
        <v>-10112.307</v>
      </c>
      <c r="I30" s="281">
        <f>SUM(I28:I29)</f>
        <v>-10829.853</v>
      </c>
      <c r="J30" s="281">
        <f t="shared" si="0"/>
        <v>94995.0161</v>
      </c>
      <c r="K30" s="614">
        <f t="shared" si="0"/>
        <v>95867.84899999999</v>
      </c>
      <c r="N30" s="335"/>
    </row>
    <row r="31" ht="12.75">
      <c r="J31" s="166"/>
    </row>
    <row r="32" spans="1:11" ht="12.75">
      <c r="A32" s="2" t="s">
        <v>25</v>
      </c>
      <c r="B32" s="1">
        <f>'P&amp;L'!K98+'P&amp;L'!L98+'P&amp;L'!I98+'P&amp;L'!H98</f>
        <v>18688.782</v>
      </c>
      <c r="C32" s="296">
        <v>0</v>
      </c>
      <c r="D32" s="296">
        <f>'P&amp;L'!C98+'P&amp;L'!D98+'P&amp;L'!E98+'P&amp;L'!F98+'P&amp;L'!G98+'P&amp;L'!J98+'P&amp;L'!O98</f>
        <v>14.595</v>
      </c>
      <c r="E32" s="296">
        <v>0</v>
      </c>
      <c r="F32" s="296">
        <f>'P&amp;L'!B98+'P&amp;L'!M98+'P&amp;L'!N98+'P&amp;L'!P98+'P&amp;L'!Q98+'P&amp;L'!R98+'P&amp;L'!S98+'P&amp;L'!T98</f>
        <v>68.926</v>
      </c>
      <c r="G32" s="296">
        <v>725.66</v>
      </c>
      <c r="H32" s="296"/>
      <c r="I32" s="296"/>
      <c r="J32" s="1">
        <f>+D32+B32+F32+H32</f>
        <v>18772.303</v>
      </c>
      <c r="K32" s="296">
        <v>725.667</v>
      </c>
    </row>
    <row r="33" spans="2:11" ht="12.75">
      <c r="B33" s="296"/>
      <c r="C33" s="296"/>
      <c r="D33" s="296"/>
      <c r="E33" s="296"/>
      <c r="F33" s="296"/>
      <c r="G33" s="296"/>
      <c r="H33" s="296"/>
      <c r="I33" s="296"/>
      <c r="J33" s="1"/>
      <c r="K33" s="296"/>
    </row>
    <row r="34" spans="1:11" ht="12.75">
      <c r="A34" s="2" t="s">
        <v>26</v>
      </c>
      <c r="B34" s="296">
        <f>'P&amp;L'!U94</f>
        <v>13234.992000000002</v>
      </c>
      <c r="C34" s="296">
        <v>0</v>
      </c>
      <c r="D34" s="296">
        <f>'P&amp;L'!U95</f>
        <v>250.51399999999998</v>
      </c>
      <c r="E34" s="296">
        <v>0</v>
      </c>
      <c r="F34" s="296">
        <f>'P&amp;L'!U96</f>
        <v>210.742</v>
      </c>
      <c r="G34" s="296">
        <v>317.483</v>
      </c>
      <c r="H34" s="296"/>
      <c r="I34" s="296"/>
      <c r="J34" s="1">
        <f>+B34+D34+F34+H34</f>
        <v>13696.248000000001</v>
      </c>
      <c r="K34" s="296">
        <f>+C34+E34+G34+I34</f>
        <v>317.483</v>
      </c>
    </row>
    <row r="35" spans="10:11" ht="12.75">
      <c r="J35" s="1"/>
      <c r="K35" s="296"/>
    </row>
    <row r="36" spans="1:11" ht="13.5" thickBot="1">
      <c r="A36" s="2" t="s">
        <v>35</v>
      </c>
      <c r="B36" s="282">
        <v>0</v>
      </c>
      <c r="C36" s="282">
        <v>0</v>
      </c>
      <c r="D36" s="282">
        <v>0</v>
      </c>
      <c r="E36" s="282">
        <v>0</v>
      </c>
      <c r="F36" s="282">
        <f>+'P&amp;L'!W60</f>
        <v>0</v>
      </c>
      <c r="G36" s="319">
        <v>0</v>
      </c>
      <c r="H36" s="319"/>
      <c r="I36" s="319"/>
      <c r="J36" s="282">
        <f>+B36+D36+F36+H36</f>
        <v>0</v>
      </c>
      <c r="K36" s="319">
        <f>+C36+E36+G36+I36</f>
        <v>0</v>
      </c>
    </row>
  </sheetData>
  <mergeCells count="5">
    <mergeCell ref="J6:K6"/>
    <mergeCell ref="H6:I6"/>
    <mergeCell ref="B6:C6"/>
    <mergeCell ref="D6:E6"/>
    <mergeCell ref="F6:G6"/>
  </mergeCells>
  <printOptions/>
  <pageMargins left="0.75" right="0.75" top="0.24" bottom="0.24" header="0.24" footer="0.24"/>
  <pageSetup fitToHeight="1" fitToWidth="1" horizontalDpi="300" verticalDpi="300" orientation="landscape" paperSize="9" scale="90" r:id="rId1"/>
  <headerFooter alignWithMargins="0">
    <oddHeader>&amp;R&amp;D &amp;T</oddHeader>
  </headerFooter>
</worksheet>
</file>

<file path=xl/worksheets/sheet22.xml><?xml version="1.0" encoding="utf-8"?>
<worksheet xmlns="http://schemas.openxmlformats.org/spreadsheetml/2006/main" xmlns:r="http://schemas.openxmlformats.org/officeDocument/2006/relationships">
  <dimension ref="A1:R76"/>
  <sheetViews>
    <sheetView workbookViewId="0" topLeftCell="A1">
      <pane xSplit="1" ySplit="7" topLeftCell="B54" activePane="bottomRight" state="frozen"/>
      <selection pane="topLeft" activeCell="A1" sqref="A1"/>
      <selection pane="topRight" activeCell="B1" sqref="B1"/>
      <selection pane="bottomLeft" activeCell="A8" sqref="A8"/>
      <selection pane="bottomRight" activeCell="J2" sqref="J2"/>
    </sheetView>
  </sheetViews>
  <sheetFormatPr defaultColWidth="9.140625" defaultRowHeight="12.75"/>
  <cols>
    <col min="1" max="1" width="24.7109375" style="367" customWidth="1"/>
    <col min="2" max="2" width="12.28125" style="367" bestFit="1" customWidth="1"/>
    <col min="3" max="3" width="7.140625" style="367" bestFit="1" customWidth="1"/>
    <col min="4" max="4" width="15.57421875" style="367" bestFit="1" customWidth="1"/>
    <col min="5" max="5" width="15.8515625" style="367" customWidth="1"/>
    <col min="6" max="6" width="2.00390625" style="367" bestFit="1" customWidth="1"/>
    <col min="7" max="7" width="11.8515625" style="367" bestFit="1" customWidth="1"/>
    <col min="8" max="8" width="7.140625" style="367" bestFit="1" customWidth="1"/>
    <col min="9" max="9" width="15.57421875" style="367" bestFit="1" customWidth="1"/>
    <col min="10" max="10" width="13.28125" style="367" customWidth="1"/>
    <col min="11" max="11" width="1.28515625" style="367" customWidth="1"/>
    <col min="12" max="12" width="14.7109375" style="367" bestFit="1" customWidth="1"/>
    <col min="13" max="13" width="7.8515625" style="367" bestFit="1" customWidth="1"/>
    <col min="14" max="14" width="15.57421875" style="367" bestFit="1" customWidth="1"/>
    <col min="15" max="15" width="16.57421875" style="367" customWidth="1"/>
    <col min="16" max="16" width="4.57421875" style="367" customWidth="1"/>
    <col min="17" max="17" width="12.140625" style="473" customWidth="1"/>
    <col min="18" max="18" width="13.421875" style="367" customWidth="1"/>
    <col min="19" max="16384" width="8.8515625" style="367" customWidth="1"/>
  </cols>
  <sheetData>
    <row r="1" ht="12.75">
      <c r="A1" s="379" t="s">
        <v>888</v>
      </c>
    </row>
    <row r="2" ht="12.75">
      <c r="A2" s="379" t="s">
        <v>698</v>
      </c>
    </row>
    <row r="4" ht="12.75">
      <c r="A4" s="439" t="s">
        <v>889</v>
      </c>
    </row>
    <row r="6" spans="2:15" ht="12.75">
      <c r="B6" s="382"/>
      <c r="C6" s="383"/>
      <c r="D6" s="474" t="s">
        <v>890</v>
      </c>
      <c r="E6" s="468"/>
      <c r="G6" s="467" t="s">
        <v>891</v>
      </c>
      <c r="H6" s="383"/>
      <c r="I6" s="474" t="s">
        <v>890</v>
      </c>
      <c r="J6" s="468"/>
      <c r="L6" s="467" t="s">
        <v>892</v>
      </c>
      <c r="M6" s="383"/>
      <c r="N6" s="474" t="s">
        <v>890</v>
      </c>
      <c r="O6" s="468"/>
    </row>
    <row r="7" spans="2:17" ht="12.75">
      <c r="B7" s="475" t="s">
        <v>893</v>
      </c>
      <c r="C7" s="372"/>
      <c r="D7" s="476" t="s">
        <v>894</v>
      </c>
      <c r="E7" s="477" t="s">
        <v>329</v>
      </c>
      <c r="G7" s="475" t="s">
        <v>895</v>
      </c>
      <c r="H7" s="372"/>
      <c r="I7" s="476" t="s">
        <v>894</v>
      </c>
      <c r="J7" s="477" t="s">
        <v>329</v>
      </c>
      <c r="L7" s="475" t="s">
        <v>896</v>
      </c>
      <c r="M7" s="372"/>
      <c r="N7" s="476" t="s">
        <v>894</v>
      </c>
      <c r="O7" s="477" t="s">
        <v>329</v>
      </c>
      <c r="Q7" s="473" t="s">
        <v>1437</v>
      </c>
    </row>
    <row r="8" spans="2:15" ht="12.75">
      <c r="B8" s="478"/>
      <c r="C8" s="372"/>
      <c r="D8" s="372"/>
      <c r="E8" s="479"/>
      <c r="G8" s="478"/>
      <c r="H8" s="372"/>
      <c r="I8" s="372"/>
      <c r="J8" s="479"/>
      <c r="L8" s="478"/>
      <c r="M8" s="372"/>
      <c r="N8" s="372"/>
      <c r="O8" s="479"/>
    </row>
    <row r="9" spans="1:15" ht="12.75">
      <c r="A9" s="367" t="s">
        <v>612</v>
      </c>
      <c r="B9" s="478"/>
      <c r="C9" s="372"/>
      <c r="D9" s="372"/>
      <c r="E9" s="479"/>
      <c r="G9" s="478"/>
      <c r="H9" s="372"/>
      <c r="I9" s="372"/>
      <c r="J9" s="479"/>
      <c r="L9" s="478"/>
      <c r="M9" s="372"/>
      <c r="N9" s="372"/>
      <c r="O9" s="479"/>
    </row>
    <row r="10" spans="2:15" ht="12.75">
      <c r="B10" s="478"/>
      <c r="C10" s="372"/>
      <c r="D10" s="372"/>
      <c r="E10" s="479"/>
      <c r="G10" s="478"/>
      <c r="H10" s="372"/>
      <c r="I10" s="372"/>
      <c r="J10" s="479"/>
      <c r="L10" s="478"/>
      <c r="M10" s="372"/>
      <c r="N10" s="480"/>
      <c r="O10" s="479"/>
    </row>
    <row r="11" spans="1:18" ht="12.75">
      <c r="A11" s="367" t="s">
        <v>333</v>
      </c>
      <c r="B11" s="481">
        <f>+'P&amp;L'!K9</f>
        <v>199914.312</v>
      </c>
      <c r="C11" s="354" t="s">
        <v>911</v>
      </c>
      <c r="D11" s="354">
        <f>-'inter Company trasaction'!C21/1000</f>
        <v>0</v>
      </c>
      <c r="E11" s="482">
        <f>+D11+B11</f>
        <v>199914.312</v>
      </c>
      <c r="G11" s="481">
        <f>+'P&amp;L'!K74</f>
        <v>20162.344999999998</v>
      </c>
      <c r="H11" s="483" t="s">
        <v>910</v>
      </c>
      <c r="I11" s="354">
        <f>-je!O38/1000</f>
        <v>-911.373</v>
      </c>
      <c r="J11" s="482">
        <f>+G11+I11+I13+I12</f>
        <v>49736.2783</v>
      </c>
      <c r="L11" s="481">
        <f>+'B. Sheet'!M64+'B. Sheet'!M59</f>
        <v>142235.80299999999</v>
      </c>
      <c r="M11" s="354" t="s">
        <v>564</v>
      </c>
      <c r="N11" s="354">
        <f>-'B. Sheet'!M18-'B. Sheet'!M15</f>
        <v>3647.241</v>
      </c>
      <c r="O11" s="482">
        <f>+L11+N11+N12+N13+N14+N10</f>
        <v>132677.74930999998</v>
      </c>
      <c r="Q11" s="473">
        <f>+'B. Sheet'!M98+N14</f>
        <v>140637.41330999997</v>
      </c>
      <c r="R11" s="415">
        <f>+O11-Q11</f>
        <v>-7959.66399999999</v>
      </c>
    </row>
    <row r="12" spans="2:15" ht="12.75">
      <c r="B12" s="481"/>
      <c r="C12" s="354"/>
      <c r="D12" s="354"/>
      <c r="E12" s="482"/>
      <c r="G12" s="481"/>
      <c r="H12" s="483" t="s">
        <v>272</v>
      </c>
      <c r="I12" s="361">
        <v>0</v>
      </c>
      <c r="J12" s="482"/>
      <c r="L12" s="481"/>
      <c r="M12" s="354" t="s">
        <v>907</v>
      </c>
      <c r="N12" s="354">
        <f>-'B. Sheet'!M35</f>
        <v>-11606.005</v>
      </c>
      <c r="O12" s="482"/>
    </row>
    <row r="13" spans="2:15" ht="12.75">
      <c r="B13" s="481"/>
      <c r="C13" s="354"/>
      <c r="D13" s="354"/>
      <c r="E13" s="482"/>
      <c r="G13" s="481"/>
      <c r="H13" s="483" t="s">
        <v>911</v>
      </c>
      <c r="I13" s="354">
        <f>-+'inter Company trasaction'!C22/1000</f>
        <v>30485.3063</v>
      </c>
      <c r="J13" s="482"/>
      <c r="L13" s="481"/>
      <c r="M13" s="354" t="s">
        <v>914</v>
      </c>
      <c r="N13" s="354">
        <f>-'B. Sheet'!M37</f>
        <v>-0.9</v>
      </c>
      <c r="O13" s="482"/>
    </row>
    <row r="14" spans="2:15" ht="12.75">
      <c r="B14" s="481"/>
      <c r="C14" s="354"/>
      <c r="D14" s="354"/>
      <c r="E14" s="482">
        <v>0</v>
      </c>
      <c r="G14" s="481"/>
      <c r="J14" s="482"/>
      <c r="L14" s="481"/>
      <c r="M14" s="354" t="s">
        <v>1316</v>
      </c>
      <c r="N14" s="670">
        <f>-disposal!D45/1000</f>
        <v>-1598.38969</v>
      </c>
      <c r="O14" s="482"/>
    </row>
    <row r="15" spans="1:18" ht="12.75">
      <c r="A15" s="367" t="s">
        <v>350</v>
      </c>
      <c r="B15" s="481">
        <f>+'P&amp;L'!L9</f>
        <v>44037.889</v>
      </c>
      <c r="C15" s="354" t="s">
        <v>911</v>
      </c>
      <c r="D15" s="354">
        <f>-+'inter Company trasaction'!D21/1000</f>
        <v>-30485.3063</v>
      </c>
      <c r="E15" s="482">
        <f>+D15+B15+D16</f>
        <v>13552.582700000003</v>
      </c>
      <c r="G15" s="481">
        <f>+'P&amp;L'!L74</f>
        <v>2255.1840000000066</v>
      </c>
      <c r="H15" s="484" t="s">
        <v>913</v>
      </c>
      <c r="I15" s="485">
        <v>0</v>
      </c>
      <c r="J15" s="482">
        <f>+G15+I15+I16+I17</f>
        <v>-28230.122299999995</v>
      </c>
      <c r="L15" s="481">
        <f>+'B. Sheet'!N64+'B. Sheet'!N59</f>
        <v>26196.211</v>
      </c>
      <c r="M15" s="354" t="s">
        <v>914</v>
      </c>
      <c r="N15" s="354">
        <f>-'B. Sheet'!N37</f>
        <v>0</v>
      </c>
      <c r="O15" s="482">
        <f>+L15+N15+N16+N17+N18</f>
        <v>20022.10359</v>
      </c>
      <c r="Q15" s="473">
        <f>+'B. Sheet'!N98+N18</f>
        <v>24750.082589999998</v>
      </c>
      <c r="R15" s="415">
        <f>+O15-Q15</f>
        <v>-4727.978999999999</v>
      </c>
    </row>
    <row r="16" spans="2:15" ht="12.75">
      <c r="B16" s="481"/>
      <c r="C16" s="354"/>
      <c r="D16" s="855">
        <v>0</v>
      </c>
      <c r="E16" s="482"/>
      <c r="G16" s="481"/>
      <c r="H16" s="483" t="s">
        <v>908</v>
      </c>
      <c r="I16" s="354">
        <f>-working!G71/1000</f>
        <v>0</v>
      </c>
      <c r="J16" s="482"/>
      <c r="L16" s="481"/>
      <c r="M16" s="354" t="s">
        <v>912</v>
      </c>
      <c r="N16" s="354">
        <f>-'B. Sheet'!N34</f>
        <v>-4727.979</v>
      </c>
      <c r="O16" s="482"/>
    </row>
    <row r="17" spans="2:15" ht="12.75">
      <c r="B17" s="481"/>
      <c r="C17" s="354"/>
      <c r="D17" s="354"/>
      <c r="E17" s="482"/>
      <c r="G17" s="481"/>
      <c r="H17" s="483" t="s">
        <v>911</v>
      </c>
      <c r="I17" s="354">
        <f>-+'inter Company trasaction'!D21/1000</f>
        <v>-30485.3063</v>
      </c>
      <c r="J17" s="482"/>
      <c r="L17" s="481"/>
      <c r="M17" s="354" t="s">
        <v>908</v>
      </c>
      <c r="N17" s="354">
        <f>-working!G71/1000</f>
        <v>0</v>
      </c>
      <c r="O17" s="482"/>
    </row>
    <row r="18" spans="2:15" ht="12.75">
      <c r="B18" s="481"/>
      <c r="C18" s="354"/>
      <c r="D18" s="354"/>
      <c r="E18" s="482"/>
      <c r="G18" s="481"/>
      <c r="H18" s="483"/>
      <c r="I18" s="354"/>
      <c r="J18" s="482"/>
      <c r="L18" s="481"/>
      <c r="M18" s="354" t="s">
        <v>1316</v>
      </c>
      <c r="N18" s="670">
        <f>-disposal!D19/1000</f>
        <v>-1446.1284099999996</v>
      </c>
      <c r="O18" s="482"/>
    </row>
    <row r="19" spans="1:18" ht="12.75">
      <c r="A19" s="367" t="s">
        <v>332</v>
      </c>
      <c r="B19" s="481">
        <f>+'P&amp;L'!H9</f>
        <v>0</v>
      </c>
      <c r="C19" s="354"/>
      <c r="D19" s="354"/>
      <c r="E19" s="482">
        <f>+D19+B19</f>
        <v>0</v>
      </c>
      <c r="G19" s="481">
        <f>+'P&amp;L'!H74</f>
        <v>-0.5729999999999995</v>
      </c>
      <c r="H19" s="484" t="s">
        <v>913</v>
      </c>
      <c r="I19" s="486">
        <v>0</v>
      </c>
      <c r="J19" s="482">
        <f>+I19+G19+I20+I21+I22</f>
        <v>-0.5729999999999995</v>
      </c>
      <c r="L19" s="481">
        <f>+'B. Sheet'!G64+'B. Sheet'!G59</f>
        <v>32.2541</v>
      </c>
      <c r="M19" s="354" t="s">
        <v>914</v>
      </c>
      <c r="N19" s="354">
        <f>-'B. Sheet'!G34-'B. Sheet'!G37</f>
        <v>-3.095</v>
      </c>
      <c r="O19" s="482">
        <f>+L19+N19+N20</f>
        <v>29.159100000000002</v>
      </c>
      <c r="Q19" s="473">
        <f>+'B. Sheet'!G98</f>
        <v>32.2541</v>
      </c>
      <c r="R19" s="415">
        <f>+O19-Q19</f>
        <v>-3.094999999999999</v>
      </c>
    </row>
    <row r="20" spans="2:15" ht="12.75">
      <c r="B20" s="481"/>
      <c r="C20" s="354"/>
      <c r="D20" s="354"/>
      <c r="E20" s="482"/>
      <c r="G20" s="481"/>
      <c r="H20" s="483" t="s">
        <v>908</v>
      </c>
      <c r="I20" s="354">
        <f>-working!G69/1000</f>
        <v>0</v>
      </c>
      <c r="J20" s="482"/>
      <c r="L20" s="481"/>
      <c r="M20" s="354" t="s">
        <v>908</v>
      </c>
      <c r="N20" s="354">
        <f>-working!G69/1000</f>
        <v>0</v>
      </c>
      <c r="O20" s="482"/>
    </row>
    <row r="21" spans="2:15" ht="12.75">
      <c r="B21" s="481"/>
      <c r="C21" s="354"/>
      <c r="D21" s="354"/>
      <c r="E21" s="482"/>
      <c r="G21" s="481"/>
      <c r="H21" s="483" t="s">
        <v>911</v>
      </c>
      <c r="I21" s="354">
        <v>0</v>
      </c>
      <c r="J21" s="482"/>
      <c r="L21" s="481"/>
      <c r="M21" s="354"/>
      <c r="N21" s="354"/>
      <c r="O21" s="482"/>
    </row>
    <row r="22" spans="2:15" ht="12.75">
      <c r="B22" s="481"/>
      <c r="C22" s="354"/>
      <c r="D22" s="354"/>
      <c r="E22" s="482"/>
      <c r="G22" s="481"/>
      <c r="H22" s="503" t="s">
        <v>265</v>
      </c>
      <c r="I22" s="349">
        <v>0</v>
      </c>
      <c r="J22" s="482"/>
      <c r="L22" s="481"/>
      <c r="M22" s="354"/>
      <c r="N22" s="354"/>
      <c r="O22" s="482"/>
    </row>
    <row r="23" spans="2:15" ht="12.75">
      <c r="B23" s="481"/>
      <c r="C23" s="354"/>
      <c r="D23" s="354"/>
      <c r="E23" s="482"/>
      <c r="G23" s="481"/>
      <c r="H23" s="483"/>
      <c r="I23" s="354"/>
      <c r="J23" s="482"/>
      <c r="L23" s="481"/>
      <c r="M23" s="354"/>
      <c r="N23" s="354"/>
      <c r="O23" s="482"/>
    </row>
    <row r="24" spans="1:18" ht="12.75">
      <c r="A24" s="367" t="s">
        <v>323</v>
      </c>
      <c r="B24" s="481">
        <f>+'P&amp;L'!I9</f>
        <v>816.608</v>
      </c>
      <c r="C24" s="354" t="s">
        <v>911</v>
      </c>
      <c r="D24" s="855">
        <f>-+'inter Company trasaction'!B21/1000-'inter Company trasaction'!G24/1000</f>
        <v>-779.856</v>
      </c>
      <c r="E24" s="856">
        <f>+D24+B24</f>
        <v>36.75199999999995</v>
      </c>
      <c r="G24" s="481">
        <f>+'P&amp;L'!I74</f>
        <v>-426.683</v>
      </c>
      <c r="H24" s="484" t="s">
        <v>913</v>
      </c>
      <c r="I24" s="504"/>
      <c r="J24" s="482">
        <f>+G24+I24+I25+I26+I27</f>
        <v>-1206.539</v>
      </c>
      <c r="L24" s="481">
        <f>+'B. Sheet'!H64+'B. Sheet'!H59</f>
        <v>661.475</v>
      </c>
      <c r="M24" s="354" t="s">
        <v>914</v>
      </c>
      <c r="N24" s="354">
        <f>-'B. Sheet'!H34-'B. Sheet'!H37</f>
        <v>-420.243</v>
      </c>
      <c r="O24" s="482">
        <f>+L24+N24+N25</f>
        <v>241.23200000000003</v>
      </c>
      <c r="Q24" s="473">
        <f>+'B. Sheet'!H98+N25</f>
        <v>661.475</v>
      </c>
      <c r="R24" s="415">
        <f>+O24-Q24</f>
        <v>-420.243</v>
      </c>
    </row>
    <row r="25" spans="2:15" ht="12.75">
      <c r="B25" s="481"/>
      <c r="C25" s="354"/>
      <c r="D25" s="354"/>
      <c r="E25" s="482"/>
      <c r="G25" s="481"/>
      <c r="H25" s="483" t="s">
        <v>908</v>
      </c>
      <c r="I25" s="354">
        <f>-working!G67/1000</f>
        <v>0</v>
      </c>
      <c r="J25" s="482"/>
      <c r="L25" s="481"/>
      <c r="M25" s="354" t="s">
        <v>908</v>
      </c>
      <c r="N25" s="354">
        <f>-working!G67/1000</f>
        <v>0</v>
      </c>
      <c r="O25" s="482"/>
    </row>
    <row r="26" spans="2:15" ht="12.75">
      <c r="B26" s="481"/>
      <c r="C26" s="354"/>
      <c r="D26" s="354"/>
      <c r="E26" s="482"/>
      <c r="G26" s="481"/>
      <c r="H26" s="483" t="s">
        <v>911</v>
      </c>
      <c r="I26" s="354"/>
      <c r="J26" s="482"/>
      <c r="L26" s="481"/>
      <c r="M26" s="354"/>
      <c r="N26" s="354"/>
      <c r="O26" s="482"/>
    </row>
    <row r="27" spans="2:15" ht="12.75">
      <c r="B27" s="481"/>
      <c r="C27" s="354"/>
      <c r="D27" s="354"/>
      <c r="E27" s="482"/>
      <c r="G27" s="481"/>
      <c r="H27" s="483" t="s">
        <v>911</v>
      </c>
      <c r="I27" s="504">
        <f>-+'inter Company trasaction'!B21/1000-'inter Company trasaction'!B24/1000</f>
        <v>-779.856</v>
      </c>
      <c r="J27" s="482"/>
      <c r="L27" s="481"/>
      <c r="M27" s="354"/>
      <c r="N27" s="354"/>
      <c r="O27" s="482"/>
    </row>
    <row r="28" spans="2:15" ht="12.75">
      <c r="B28" s="348">
        <f>SUM(B11:B27)</f>
        <v>244768.809</v>
      </c>
      <c r="C28" s="372"/>
      <c r="D28" s="363">
        <f>SUM(D11:D27)</f>
        <v>-31265.1623</v>
      </c>
      <c r="E28" s="351">
        <f>SUM(E11:E27)</f>
        <v>213503.6467</v>
      </c>
      <c r="G28" s="348">
        <f>SUM(G11:G27)</f>
        <v>21990.273</v>
      </c>
      <c r="H28" s="372"/>
      <c r="I28" s="363">
        <f>SUM(I11:I27)</f>
        <v>-1691.2289999999996</v>
      </c>
      <c r="J28" s="351">
        <f>SUM(J11:J27)</f>
        <v>20299.044</v>
      </c>
      <c r="L28" s="348">
        <f>SUM(L11:L27)</f>
        <v>169125.7431</v>
      </c>
      <c r="M28" s="372"/>
      <c r="N28" s="363">
        <f>SUM(N11:N27)</f>
        <v>-16155.499099999999</v>
      </c>
      <c r="O28" s="351">
        <f>SUM(O11:O27)</f>
        <v>152970.24399999998</v>
      </c>
    </row>
    <row r="29" spans="2:15" ht="12.75">
      <c r="B29" s="478"/>
      <c r="C29" s="372"/>
      <c r="D29" s="372"/>
      <c r="E29" s="479"/>
      <c r="G29" s="478"/>
      <c r="H29" s="372"/>
      <c r="I29" s="372"/>
      <c r="J29" s="487"/>
      <c r="L29" s="478"/>
      <c r="M29" s="372"/>
      <c r="N29" s="372"/>
      <c r="O29" s="479"/>
    </row>
    <row r="30" spans="1:15" ht="12.75">
      <c r="A30" s="367" t="s">
        <v>897</v>
      </c>
      <c r="B30" s="478"/>
      <c r="C30" s="372"/>
      <c r="D30" s="372"/>
      <c r="E30" s="479"/>
      <c r="G30" s="478"/>
      <c r="H30" s="372"/>
      <c r="I30" s="372"/>
      <c r="J30" s="479"/>
      <c r="L30" s="478"/>
      <c r="M30" s="372"/>
      <c r="N30" s="372"/>
      <c r="O30" s="479"/>
    </row>
    <row r="31" spans="2:15" ht="12.75">
      <c r="B31" s="478"/>
      <c r="C31" s="372"/>
      <c r="D31" s="372"/>
      <c r="E31" s="479"/>
      <c r="G31" s="478"/>
      <c r="H31" s="372"/>
      <c r="I31" s="372"/>
      <c r="J31" s="479"/>
      <c r="L31" s="478"/>
      <c r="M31" s="372"/>
      <c r="N31" s="372"/>
      <c r="O31" s="479"/>
    </row>
    <row r="32" spans="1:18" ht="12.75">
      <c r="A32" s="367" t="s">
        <v>866</v>
      </c>
      <c r="B32" s="481">
        <f>+'P&amp;L'!C9</f>
        <v>0</v>
      </c>
      <c r="C32" s="354"/>
      <c r="D32" s="354"/>
      <c r="E32" s="482">
        <f aca="true" t="shared" si="0" ref="E32:E42">+D32+B32</f>
        <v>0</v>
      </c>
      <c r="G32" s="481">
        <f>+'P&amp;L'!C74</f>
        <v>-55.588999999999984</v>
      </c>
      <c r="H32" s="354" t="s">
        <v>911</v>
      </c>
      <c r="I32" s="354">
        <v>0</v>
      </c>
      <c r="J32" s="482">
        <f>+I32+G32+I33</f>
        <v>-55.588999999999984</v>
      </c>
      <c r="L32" s="481">
        <f>+'B. Sheet'!B64+'B. Sheet'!B59</f>
        <v>372.43499999999995</v>
      </c>
      <c r="M32" s="354" t="s">
        <v>914</v>
      </c>
      <c r="N32" s="354">
        <f>-'B. Sheet'!B34-'B. Sheet'!B37</f>
        <v>0</v>
      </c>
      <c r="O32" s="482">
        <f>+N32+L32</f>
        <v>372.43499999999995</v>
      </c>
      <c r="Q32" s="473">
        <f>+'B. Sheet'!B98</f>
        <v>372.43499999999995</v>
      </c>
      <c r="R32" s="415">
        <f>+O32-Q32</f>
        <v>0</v>
      </c>
    </row>
    <row r="33" spans="2:15" ht="12.75">
      <c r="B33" s="481"/>
      <c r="C33" s="354"/>
      <c r="D33" s="354"/>
      <c r="E33" s="482"/>
      <c r="G33" s="481"/>
      <c r="H33" s="354" t="s">
        <v>911</v>
      </c>
      <c r="I33" s="354">
        <v>0</v>
      </c>
      <c r="J33" s="482"/>
      <c r="L33" s="481"/>
      <c r="M33" s="354"/>
      <c r="N33" s="354"/>
      <c r="O33" s="482"/>
    </row>
    <row r="34" spans="1:18" ht="12.75">
      <c r="A34" s="367" t="s">
        <v>899</v>
      </c>
      <c r="B34" s="481">
        <f>+'P&amp;L'!D9</f>
        <v>1056.506</v>
      </c>
      <c r="C34" s="354"/>
      <c r="D34" s="354">
        <f>-'inter Company trasaction'!E21/1000</f>
        <v>0</v>
      </c>
      <c r="E34" s="482">
        <f t="shared" si="0"/>
        <v>1056.506</v>
      </c>
      <c r="G34" s="481">
        <f>+'P&amp;L'!D74</f>
        <v>459.34700000000026</v>
      </c>
      <c r="H34" s="354" t="s">
        <v>911</v>
      </c>
      <c r="I34" s="354"/>
      <c r="J34" s="482">
        <f>+I34+G34+I35+I36</f>
        <v>1239.2030000000002</v>
      </c>
      <c r="L34" s="481">
        <f>+'B. Sheet'!C64+'B. Sheet'!C59</f>
        <v>5526.998</v>
      </c>
      <c r="M34" s="354" t="s">
        <v>914</v>
      </c>
      <c r="N34" s="354">
        <f>-'B. Sheet'!C34-'B. Sheet'!C37</f>
        <v>0</v>
      </c>
      <c r="O34" s="482">
        <f>+N34+L34</f>
        <v>5526.998</v>
      </c>
      <c r="Q34" s="473">
        <f>+'B. Sheet'!C98</f>
        <v>5526.998</v>
      </c>
      <c r="R34" s="415">
        <f>+O34-Q34</f>
        <v>0</v>
      </c>
    </row>
    <row r="35" spans="2:15" ht="12.75">
      <c r="B35" s="481"/>
      <c r="C35" s="354"/>
      <c r="D35" s="354"/>
      <c r="E35" s="482"/>
      <c r="G35" s="481"/>
      <c r="H35" s="354" t="s">
        <v>911</v>
      </c>
      <c r="I35" s="354">
        <f>-'inter Company trasaction'!E22/1000+'inter Company trasaction'!G24/1000</f>
        <v>779.856</v>
      </c>
      <c r="J35" s="482"/>
      <c r="L35" s="481"/>
      <c r="M35" s="354"/>
      <c r="N35" s="354"/>
      <c r="O35" s="482"/>
    </row>
    <row r="36" spans="2:15" ht="12.75">
      <c r="B36" s="481"/>
      <c r="C36" s="354"/>
      <c r="D36" s="354"/>
      <c r="E36" s="482"/>
      <c r="G36" s="481"/>
      <c r="H36" s="354"/>
      <c r="I36" s="354"/>
      <c r="J36" s="482"/>
      <c r="L36" s="481"/>
      <c r="M36" s="354"/>
      <c r="N36" s="354"/>
      <c r="O36" s="482"/>
    </row>
    <row r="37" spans="1:18" ht="12.75">
      <c r="A37" s="367" t="s">
        <v>900</v>
      </c>
      <c r="B37" s="481">
        <f>+'P&amp;L'!F9</f>
        <v>0</v>
      </c>
      <c r="C37" s="354"/>
      <c r="D37" s="354">
        <v>0</v>
      </c>
      <c r="E37" s="482">
        <f t="shared" si="0"/>
        <v>0</v>
      </c>
      <c r="G37" s="481">
        <f>+'P&amp;L'!F74</f>
        <v>12.360999999999997</v>
      </c>
      <c r="H37" s="354" t="s">
        <v>911</v>
      </c>
      <c r="I37" s="354">
        <v>0</v>
      </c>
      <c r="J37" s="482">
        <f>+I37+G37+I38</f>
        <v>12.360999999999997</v>
      </c>
      <c r="L37" s="481">
        <f>+'B. Sheet'!D64+'B. Sheet'!D59</f>
        <v>1938.645</v>
      </c>
      <c r="M37" s="354" t="s">
        <v>914</v>
      </c>
      <c r="N37" s="354">
        <f>-'B. Sheet'!D34-'B. Sheet'!D37</f>
        <v>0</v>
      </c>
      <c r="O37" s="482">
        <f>+N37+L37</f>
        <v>1938.645</v>
      </c>
      <c r="Q37" s="473">
        <f>+'B. Sheet'!D98</f>
        <v>1938.645</v>
      </c>
      <c r="R37" s="415">
        <f>+O37-Q37</f>
        <v>0</v>
      </c>
    </row>
    <row r="38" spans="2:15" ht="12.75">
      <c r="B38" s="481"/>
      <c r="C38" s="354"/>
      <c r="D38" s="354"/>
      <c r="E38" s="482"/>
      <c r="G38" s="481"/>
      <c r="H38" s="354" t="s">
        <v>911</v>
      </c>
      <c r="I38" s="354">
        <v>0</v>
      </c>
      <c r="J38" s="482"/>
      <c r="L38" s="481"/>
      <c r="M38" s="354"/>
      <c r="N38" s="354"/>
      <c r="O38" s="482"/>
    </row>
    <row r="39" spans="1:18" ht="12.75">
      <c r="A39" s="367" t="s">
        <v>901</v>
      </c>
      <c r="B39" s="481">
        <f>+'P&amp;L'!E9</f>
        <v>0</v>
      </c>
      <c r="C39" s="354"/>
      <c r="D39" s="354">
        <v>0</v>
      </c>
      <c r="E39" s="482">
        <f t="shared" si="0"/>
        <v>0</v>
      </c>
      <c r="G39" s="481">
        <f>+'P&amp;L'!E74</f>
        <v>13.372999999999998</v>
      </c>
      <c r="H39" s="354" t="s">
        <v>911</v>
      </c>
      <c r="I39" s="354">
        <v>0</v>
      </c>
      <c r="J39" s="482">
        <f>+I39+G39+I40</f>
        <v>13.372999999999998</v>
      </c>
      <c r="L39" s="481">
        <f>+'B. Sheet'!E64+'B. Sheet'!E59</f>
        <v>31.068</v>
      </c>
      <c r="M39" s="354" t="s">
        <v>914</v>
      </c>
      <c r="N39" s="354">
        <f>-'B. Sheet'!E34-'B. Sheet'!E37</f>
        <v>0</v>
      </c>
      <c r="O39" s="482">
        <f>+N39+L39</f>
        <v>31.068</v>
      </c>
      <c r="Q39" s="473">
        <f>+'B. Sheet'!E98</f>
        <v>31.068</v>
      </c>
      <c r="R39" s="415">
        <f>+O39-Q39</f>
        <v>0</v>
      </c>
    </row>
    <row r="40" spans="2:15" ht="12.75">
      <c r="B40" s="481"/>
      <c r="C40" s="354"/>
      <c r="D40" s="354"/>
      <c r="E40" s="482"/>
      <c r="G40" s="481"/>
      <c r="H40" s="354" t="s">
        <v>911</v>
      </c>
      <c r="I40" s="354">
        <v>0</v>
      </c>
      <c r="J40" s="482"/>
      <c r="L40" s="481"/>
      <c r="M40" s="354"/>
      <c r="N40" s="354"/>
      <c r="O40" s="482"/>
    </row>
    <row r="41" spans="1:18" ht="12.75">
      <c r="A41" s="367" t="s">
        <v>902</v>
      </c>
      <c r="B41" s="481">
        <f>+'P&amp;L'!G9</f>
        <v>0</v>
      </c>
      <c r="C41" s="354"/>
      <c r="D41" s="354">
        <v>0</v>
      </c>
      <c r="E41" s="482">
        <f t="shared" si="0"/>
        <v>0</v>
      </c>
      <c r="G41" s="481">
        <f>+'P&amp;L'!G74</f>
        <v>-6.996</v>
      </c>
      <c r="H41" s="354"/>
      <c r="I41" s="354"/>
      <c r="J41" s="482">
        <f>+I41+G41</f>
        <v>-6.996</v>
      </c>
      <c r="L41" s="481">
        <f>+'B. Sheet'!F64+'B. Sheet'!F59</f>
        <v>84.13100000000001</v>
      </c>
      <c r="M41" s="354" t="s">
        <v>914</v>
      </c>
      <c r="N41" s="354">
        <f>-'B. Sheet'!F34-'B. Sheet'!F37</f>
        <v>0</v>
      </c>
      <c r="O41" s="482">
        <f>+N41+L41</f>
        <v>84.13100000000001</v>
      </c>
      <c r="Q41" s="473">
        <f>+'B. Sheet'!F98</f>
        <v>84.13100000000001</v>
      </c>
      <c r="R41" s="415">
        <f>+O41-Q41</f>
        <v>0</v>
      </c>
    </row>
    <row r="42" spans="1:18" ht="12.75">
      <c r="A42" s="367" t="s">
        <v>324</v>
      </c>
      <c r="B42" s="481">
        <f>+'P&amp;L'!J9</f>
        <v>0</v>
      </c>
      <c r="C42" s="354"/>
      <c r="D42" s="354">
        <v>0</v>
      </c>
      <c r="E42" s="482">
        <f t="shared" si="0"/>
        <v>0</v>
      </c>
      <c r="G42" s="481">
        <f>+'P&amp;L'!J74</f>
        <v>-2.867</v>
      </c>
      <c r="H42" s="354" t="s">
        <v>911</v>
      </c>
      <c r="I42" s="354">
        <v>0</v>
      </c>
      <c r="J42" s="482">
        <f>+I42+G42</f>
        <v>-2.867</v>
      </c>
      <c r="L42" s="481">
        <f>+'B. Sheet'!I64+'B. Sheet'!I59</f>
        <v>1521.487</v>
      </c>
      <c r="M42" s="354" t="s">
        <v>914</v>
      </c>
      <c r="N42" s="354">
        <f>-'B. Sheet'!I34-'B. Sheet'!I37</f>
        <v>-1448.804</v>
      </c>
      <c r="O42" s="482">
        <f>+N42+L42</f>
        <v>72.68299999999999</v>
      </c>
      <c r="Q42" s="473">
        <f>+'B. Sheet'!I98</f>
        <v>1521.487</v>
      </c>
      <c r="R42" s="415">
        <f>+O42-Q42</f>
        <v>-1448.804</v>
      </c>
    </row>
    <row r="43" spans="1:18" ht="12.75">
      <c r="A43" s="367" t="s">
        <v>325</v>
      </c>
      <c r="B43" s="481"/>
      <c r="C43" s="354"/>
      <c r="D43" s="354"/>
      <c r="E43" s="482">
        <v>0</v>
      </c>
      <c r="G43" s="481">
        <f>+'P&amp;L'!O74</f>
        <v>65.54899999999999</v>
      </c>
      <c r="H43" s="354"/>
      <c r="I43" s="354"/>
      <c r="J43" s="482">
        <f>+G43</f>
        <v>65.54899999999999</v>
      </c>
      <c r="L43" s="481">
        <f>+'B. Sheet'!Q64+'B. Sheet'!Q59</f>
        <v>3345.009</v>
      </c>
      <c r="M43" s="354" t="s">
        <v>914</v>
      </c>
      <c r="N43" s="354">
        <f>-'B. Sheet'!Q37</f>
        <v>-500.012</v>
      </c>
      <c r="O43" s="482">
        <f>+N43+L43</f>
        <v>2844.997</v>
      </c>
      <c r="Q43" s="473">
        <f>+'B. Sheet'!Q98</f>
        <v>3345.009</v>
      </c>
      <c r="R43" s="415">
        <f>+O43-Q43</f>
        <v>-500.01200000000017</v>
      </c>
    </row>
    <row r="44" spans="1:18" ht="12.75">
      <c r="A44" s="367" t="s">
        <v>336</v>
      </c>
      <c r="B44" s="481"/>
      <c r="C44" s="354"/>
      <c r="D44" s="354"/>
      <c r="E44" s="482">
        <v>0</v>
      </c>
      <c r="G44" s="481">
        <f>+'P&amp;L'!N74</f>
        <v>-0.8899999999999999</v>
      </c>
      <c r="H44" s="354"/>
      <c r="I44" s="354"/>
      <c r="J44" s="482">
        <f>+I44+G44</f>
        <v>-0.8899999999999999</v>
      </c>
      <c r="L44" s="481">
        <f>+'B. Sheet'!P64+'B. Sheet'!P59</f>
        <v>29.011</v>
      </c>
      <c r="M44" s="354" t="s">
        <v>914</v>
      </c>
      <c r="N44" s="354">
        <f>-'B. Sheet'!P34-'B. Sheet'!P37</f>
        <v>-8</v>
      </c>
      <c r="O44" s="482">
        <f>+N44+L44</f>
        <v>21.011</v>
      </c>
      <c r="Q44" s="473">
        <f>+'B. Sheet'!P98</f>
        <v>29.011</v>
      </c>
      <c r="R44" s="415">
        <f>+O44-Q44</f>
        <v>-8</v>
      </c>
    </row>
    <row r="45" spans="2:15" ht="12.75">
      <c r="B45" s="481"/>
      <c r="C45" s="354"/>
      <c r="D45" s="354"/>
      <c r="E45" s="482"/>
      <c r="G45" s="481"/>
      <c r="H45" s="354"/>
      <c r="I45" s="354"/>
      <c r="J45" s="482"/>
      <c r="L45" s="481"/>
      <c r="M45" s="354"/>
      <c r="N45" s="354"/>
      <c r="O45" s="482"/>
    </row>
    <row r="46" spans="2:15" ht="12.75">
      <c r="B46" s="488">
        <f>SUM(B32:B45)</f>
        <v>1056.506</v>
      </c>
      <c r="C46" s="372"/>
      <c r="D46" s="489">
        <f>SUM(D32:D45)</f>
        <v>0</v>
      </c>
      <c r="E46" s="490">
        <f>SUM(E32:E45)</f>
        <v>1056.506</v>
      </c>
      <c r="G46" s="488">
        <f>SUM(G32:G45)</f>
        <v>484.28800000000024</v>
      </c>
      <c r="H46" s="372"/>
      <c r="I46" s="489">
        <f>SUM(I32:I45)</f>
        <v>779.856</v>
      </c>
      <c r="J46" s="490">
        <f>SUM(J32:J45)</f>
        <v>1264.1440000000002</v>
      </c>
      <c r="L46" s="488">
        <f>SUM(L32:L45)</f>
        <v>12848.784</v>
      </c>
      <c r="M46" s="372"/>
      <c r="N46" s="489">
        <f>SUM(N32:N45)</f>
        <v>-1956.816</v>
      </c>
      <c r="O46" s="490">
        <f>SUM(O32:O45)</f>
        <v>10891.968</v>
      </c>
    </row>
    <row r="47" spans="2:15" ht="12.75">
      <c r="B47" s="478"/>
      <c r="C47" s="372"/>
      <c r="D47" s="491"/>
      <c r="E47" s="479"/>
      <c r="G47" s="478"/>
      <c r="H47" s="372"/>
      <c r="I47" s="372"/>
      <c r="J47" s="479"/>
      <c r="L47" s="478"/>
      <c r="M47" s="372"/>
      <c r="N47" s="372"/>
      <c r="O47" s="479"/>
    </row>
    <row r="48" spans="1:15" ht="12.75">
      <c r="A48" s="367" t="s">
        <v>872</v>
      </c>
      <c r="B48" s="478"/>
      <c r="C48" s="372"/>
      <c r="D48" s="423"/>
      <c r="E48" s="479"/>
      <c r="G48" s="478"/>
      <c r="H48" s="372"/>
      <c r="I48" s="372"/>
      <c r="J48" s="479"/>
      <c r="L48" s="478"/>
      <c r="M48" s="372"/>
      <c r="N48" s="372"/>
      <c r="O48" s="479"/>
    </row>
    <row r="49" spans="2:15" ht="12.75">
      <c r="B49" s="478"/>
      <c r="C49" s="372"/>
      <c r="D49" s="372"/>
      <c r="E49" s="479"/>
      <c r="G49" s="478"/>
      <c r="H49" s="372"/>
      <c r="I49" s="372"/>
      <c r="J49" s="479"/>
      <c r="L49" s="478"/>
      <c r="M49" s="372"/>
      <c r="N49" s="372"/>
      <c r="O49" s="479"/>
    </row>
    <row r="50" spans="1:18" ht="12.75">
      <c r="A50" s="367" t="s">
        <v>318</v>
      </c>
      <c r="B50" s="481">
        <v>0</v>
      </c>
      <c r="C50" s="354"/>
      <c r="D50" s="354">
        <v>0</v>
      </c>
      <c r="E50" s="482">
        <f>+B50+D50</f>
        <v>0</v>
      </c>
      <c r="G50" s="481">
        <f>+'P&amp;L'!B74</f>
        <v>1350.7309999999998</v>
      </c>
      <c r="H50" s="354" t="s">
        <v>909</v>
      </c>
      <c r="I50" s="354">
        <f>-je!O203/1000-je!O134/1000-je!C221/1000</f>
        <v>636.5802000000001</v>
      </c>
      <c r="J50" s="482">
        <f>+G50+I50+I51+I52+I53</f>
        <v>1987.3111999999999</v>
      </c>
      <c r="L50" s="481">
        <f>+'B. Sheet'!K64+'B. Sheet'!K59</f>
        <v>87534.70369</v>
      </c>
      <c r="M50" s="354" t="s">
        <v>564</v>
      </c>
      <c r="N50" s="354">
        <f>-'B. Sheet'!K15-'B. Sheet'!K16-'B. Sheet'!K17-'B. Sheet'!K18-'B. Sheet'!K34-'B. Sheet'!K35</f>
        <v>-83510.62969</v>
      </c>
      <c r="O50" s="482">
        <f>+N50+L50+N51+N52+N53+N54</f>
        <v>4122.93668999999</v>
      </c>
      <c r="Q50" s="473">
        <f>+'B. Sheet'!K98+N50+N52+N51</f>
        <v>4122.93668999999</v>
      </c>
      <c r="R50" s="415">
        <f>+O50-Q50</f>
        <v>0</v>
      </c>
    </row>
    <row r="51" spans="2:15" ht="12.75">
      <c r="B51" s="481"/>
      <c r="E51" s="482"/>
      <c r="G51" s="481"/>
      <c r="H51" s="354"/>
      <c r="I51" s="349">
        <v>0</v>
      </c>
      <c r="J51" s="482"/>
      <c r="L51" s="481"/>
      <c r="M51" s="354" t="s">
        <v>569</v>
      </c>
      <c r="N51" s="354">
        <f>+je!F233/1000</f>
        <v>0</v>
      </c>
      <c r="O51" s="482"/>
    </row>
    <row r="52" spans="2:15" ht="12.75">
      <c r="B52" s="481"/>
      <c r="C52" s="354"/>
      <c r="D52" s="354"/>
      <c r="E52" s="482"/>
      <c r="G52" s="481"/>
      <c r="H52" s="354" t="s">
        <v>498</v>
      </c>
      <c r="I52" s="349">
        <v>0</v>
      </c>
      <c r="J52" s="482"/>
      <c r="L52" s="481"/>
      <c r="M52" s="354" t="s">
        <v>907</v>
      </c>
      <c r="N52" s="354">
        <f>+je!M73/1000</f>
        <v>98.86268999999761</v>
      </c>
      <c r="O52" s="482"/>
    </row>
    <row r="53" spans="2:15" ht="12.75">
      <c r="B53" s="481"/>
      <c r="C53" s="354"/>
      <c r="D53" s="354"/>
      <c r="E53" s="482"/>
      <c r="G53" s="481"/>
      <c r="H53" s="354" t="s">
        <v>499</v>
      </c>
      <c r="I53" s="349">
        <v>0</v>
      </c>
      <c r="J53" s="482"/>
      <c r="L53" s="481"/>
      <c r="M53" s="354" t="s">
        <v>1140</v>
      </c>
      <c r="N53" s="354">
        <f>+je!D145/1000</f>
        <v>0</v>
      </c>
      <c r="O53" s="482"/>
    </row>
    <row r="54" spans="2:15" ht="12.75">
      <c r="B54" s="481"/>
      <c r="C54" s="354"/>
      <c r="D54" s="354"/>
      <c r="E54" s="482"/>
      <c r="G54" s="481"/>
      <c r="J54" s="482"/>
      <c r="L54" s="481"/>
      <c r="M54" s="354"/>
      <c r="N54" s="354"/>
      <c r="O54" s="482"/>
    </row>
    <row r="55" spans="1:18" ht="12.75">
      <c r="A55" s="367" t="s">
        <v>328</v>
      </c>
      <c r="B55" s="481"/>
      <c r="C55" s="354"/>
      <c r="D55" s="354"/>
      <c r="E55" s="482">
        <f aca="true" t="shared" si="1" ref="E55:E62">+B55+D55</f>
        <v>0</v>
      </c>
      <c r="G55" s="481">
        <f>+'P&amp;L'!T74</f>
        <v>-1.647</v>
      </c>
      <c r="J55" s="482">
        <f>+G55</f>
        <v>-1.647</v>
      </c>
      <c r="L55" s="481">
        <f>+'B. Sheet'!V64+'B. Sheet'!V59</f>
        <v>0.0020000000000000018</v>
      </c>
      <c r="M55" s="354"/>
      <c r="N55" s="354"/>
      <c r="O55" s="482">
        <f aca="true" t="shared" si="2" ref="O55:O62">+N55+L55</f>
        <v>0.0020000000000000018</v>
      </c>
      <c r="Q55" s="473">
        <f>+'B. Sheet'!V98</f>
        <v>0.0020000000000000018</v>
      </c>
      <c r="R55" s="415">
        <f>+O55-Q55</f>
        <v>0</v>
      </c>
    </row>
    <row r="56" spans="1:18" ht="12.75">
      <c r="A56" s="367" t="s">
        <v>327</v>
      </c>
      <c r="B56" s="481">
        <f>+'P&amp;L'!Q9</f>
        <v>0</v>
      </c>
      <c r="C56" s="354"/>
      <c r="D56" s="354"/>
      <c r="E56" s="482">
        <f t="shared" si="1"/>
        <v>0</v>
      </c>
      <c r="G56" s="481">
        <f>+'P&amp;L'!Q74</f>
        <v>-192.455</v>
      </c>
      <c r="H56" s="354"/>
      <c r="I56" s="354"/>
      <c r="J56" s="482">
        <f>+G56</f>
        <v>-192.455</v>
      </c>
      <c r="L56" s="481">
        <f>+'B. Sheet'!S64+'B. Sheet'!S59</f>
        <v>2034.7939999999999</v>
      </c>
      <c r="M56" s="354" t="s">
        <v>914</v>
      </c>
      <c r="N56" s="354">
        <f>-'B. Sheet'!S37</f>
        <v>0</v>
      </c>
      <c r="O56" s="482">
        <f t="shared" si="2"/>
        <v>2034.7939999999999</v>
      </c>
      <c r="Q56" s="473">
        <f>+'B. Sheet'!S98</f>
        <v>2034.7939999999999</v>
      </c>
      <c r="R56" s="415">
        <f>+O56-Q56</f>
        <v>0</v>
      </c>
    </row>
    <row r="57" spans="1:18" ht="12.75">
      <c r="A57" s="367" t="s">
        <v>903</v>
      </c>
      <c r="B57" s="481"/>
      <c r="C57" s="354"/>
      <c r="D57" s="354"/>
      <c r="E57" s="482">
        <f t="shared" si="1"/>
        <v>0</v>
      </c>
      <c r="G57" s="481">
        <f>+'P&amp;L'!P74</f>
        <v>-2.109</v>
      </c>
      <c r="H57" s="354" t="s">
        <v>222</v>
      </c>
      <c r="I57" s="354">
        <v>0</v>
      </c>
      <c r="J57" s="482">
        <f>+G57+I57</f>
        <v>-2.109</v>
      </c>
      <c r="L57" s="481">
        <f>+'B. Sheet'!R64+'B. Sheet'!R59</f>
        <v>2694.063</v>
      </c>
      <c r="M57" s="354" t="s">
        <v>564</v>
      </c>
      <c r="N57" s="354">
        <f>-'B. Sheet'!R18-'B. Sheet'!R34-'B. Sheet'!R37</f>
        <v>-2694.061</v>
      </c>
      <c r="O57" s="482">
        <f t="shared" si="2"/>
        <v>0.0019999999999527063</v>
      </c>
      <c r="Q57" s="473">
        <f>+'B. Sheet'!R98+N57+N58</f>
        <v>0.0019999999999527063</v>
      </c>
      <c r="R57" s="415">
        <f>+O57-Q57</f>
        <v>0</v>
      </c>
    </row>
    <row r="58" spans="2:18" ht="12.75">
      <c r="B58" s="481"/>
      <c r="C58" s="354"/>
      <c r="D58" s="354"/>
      <c r="E58" s="482"/>
      <c r="G58" s="481"/>
      <c r="H58" s="354"/>
      <c r="I58" s="354"/>
      <c r="J58" s="482"/>
      <c r="L58" s="481"/>
      <c r="M58" s="354" t="s">
        <v>356</v>
      </c>
      <c r="N58" s="354"/>
      <c r="O58" s="482"/>
      <c r="R58" s="415"/>
    </row>
    <row r="59" spans="1:18" ht="12.75">
      <c r="A59" s="367" t="s">
        <v>904</v>
      </c>
      <c r="B59" s="481"/>
      <c r="C59" s="354"/>
      <c r="D59" s="354"/>
      <c r="E59" s="482">
        <f t="shared" si="1"/>
        <v>0</v>
      </c>
      <c r="G59" s="481">
        <f>+'P&amp;L'!M74</f>
        <v>-1.204</v>
      </c>
      <c r="H59" s="354"/>
      <c r="I59" s="354"/>
      <c r="J59" s="482">
        <f>+G59</f>
        <v>-1.204</v>
      </c>
      <c r="L59" s="481">
        <f>+'B. Sheet'!O64+'B. Sheet'!O59</f>
        <v>75.262</v>
      </c>
      <c r="M59" s="354" t="s">
        <v>912</v>
      </c>
      <c r="N59" s="354">
        <f>-'B. Sheet'!O34-'B. Sheet'!O37</f>
        <v>-75.262</v>
      </c>
      <c r="O59" s="482">
        <f t="shared" si="2"/>
        <v>0</v>
      </c>
      <c r="Q59" s="473">
        <f>+'B. Sheet'!O98</f>
        <v>75.262</v>
      </c>
      <c r="R59" s="415">
        <f>+O59-Q59</f>
        <v>-75.262</v>
      </c>
    </row>
    <row r="60" spans="1:15" ht="12.75">
      <c r="A60" s="367" t="s">
        <v>100</v>
      </c>
      <c r="B60" s="481"/>
      <c r="C60" s="354"/>
      <c r="D60" s="354"/>
      <c r="E60" s="482">
        <f t="shared" si="1"/>
        <v>0</v>
      </c>
      <c r="G60" s="481"/>
      <c r="H60" s="354"/>
      <c r="I60" s="354"/>
      <c r="J60" s="482">
        <f>+G60</f>
        <v>0</v>
      </c>
      <c r="L60" s="481"/>
      <c r="M60" s="354"/>
      <c r="N60" s="354"/>
      <c r="O60" s="482">
        <f t="shared" si="2"/>
        <v>0</v>
      </c>
    </row>
    <row r="61" spans="1:18" ht="12.75">
      <c r="A61" s="367" t="s">
        <v>188</v>
      </c>
      <c r="B61" s="481">
        <f>+'P&amp;L'!R9</f>
        <v>1043.335</v>
      </c>
      <c r="C61" s="354"/>
      <c r="D61" s="354"/>
      <c r="E61" s="482">
        <f t="shared" si="1"/>
        <v>1043.335</v>
      </c>
      <c r="G61" s="481">
        <f>+'P&amp;L'!R74</f>
        <v>-64.7370000000001</v>
      </c>
      <c r="H61" s="354"/>
      <c r="I61" s="354"/>
      <c r="J61" s="482">
        <f>+G61+I61</f>
        <v>-64.7370000000001</v>
      </c>
      <c r="L61" s="481">
        <f>+'B. Sheet'!T64+'B. Sheet'!T59</f>
        <v>0</v>
      </c>
      <c r="M61" s="354" t="s">
        <v>914</v>
      </c>
      <c r="N61" s="354">
        <f>-'B. Sheet'!T37</f>
        <v>0</v>
      </c>
      <c r="O61" s="482">
        <f t="shared" si="2"/>
        <v>0</v>
      </c>
      <c r="Q61" s="473">
        <f>+'B. Sheet'!T98</f>
        <v>0</v>
      </c>
      <c r="R61" s="415">
        <f>+O61-Q61</f>
        <v>0</v>
      </c>
    </row>
    <row r="62" spans="1:18" ht="12.75">
      <c r="A62" s="367" t="s">
        <v>271</v>
      </c>
      <c r="B62" s="492">
        <f>'P&amp;L'!S9</f>
        <v>122.675</v>
      </c>
      <c r="C62" s="354"/>
      <c r="D62" s="354"/>
      <c r="E62" s="482">
        <f t="shared" si="1"/>
        <v>122.675</v>
      </c>
      <c r="G62" s="481">
        <f>'P&amp;L'!S63</f>
        <v>-8.519000000000002</v>
      </c>
      <c r="H62" s="354"/>
      <c r="I62" s="354"/>
      <c r="J62" s="482">
        <f>+G62</f>
        <v>-8.519000000000002</v>
      </c>
      <c r="L62" s="481">
        <f>+'B. Sheet'!U59+'B. Sheet'!U64</f>
        <v>0</v>
      </c>
      <c r="M62" s="354" t="s">
        <v>914</v>
      </c>
      <c r="N62" s="354">
        <f>-'B. Sheet'!U37</f>
        <v>0</v>
      </c>
      <c r="O62" s="482">
        <f t="shared" si="2"/>
        <v>0</v>
      </c>
      <c r="Q62" s="473">
        <f>'B. Sheet'!U98</f>
        <v>0</v>
      </c>
      <c r="R62" s="415">
        <f>O62-Q62</f>
        <v>0</v>
      </c>
    </row>
    <row r="63" spans="2:18" ht="13.5" thickBot="1">
      <c r="B63" s="493">
        <f>SUM(B50:B62)</f>
        <v>1166.01</v>
      </c>
      <c r="C63" s="372"/>
      <c r="D63" s="424">
        <f>SUM(D50:D61)</f>
        <v>0</v>
      </c>
      <c r="E63" s="351">
        <f>SUM(E50:E62)</f>
        <v>1166.01</v>
      </c>
      <c r="G63" s="348">
        <f>SUM(G50:G62)</f>
        <v>1080.06</v>
      </c>
      <c r="H63" s="491"/>
      <c r="I63" s="363">
        <f>SUM(I50:I61)</f>
        <v>636.5802000000001</v>
      </c>
      <c r="J63" s="351">
        <f>SUM(J50:J62)</f>
        <v>1716.6402</v>
      </c>
      <c r="K63" s="494"/>
      <c r="L63" s="348">
        <f>SUM(L50:L62)</f>
        <v>92338.82468999998</v>
      </c>
      <c r="M63" s="491"/>
      <c r="N63" s="363">
        <f>SUM(N50:N62)</f>
        <v>-86181.09000000001</v>
      </c>
      <c r="O63" s="351">
        <f>SUM(O50:O62)</f>
        <v>6157.73468999999</v>
      </c>
      <c r="Q63" s="857">
        <f>SUM(Q8:Q62)</f>
        <v>185163.00568999993</v>
      </c>
      <c r="R63" s="415">
        <f>SUM(R11:R62)</f>
        <v>-15143.05899999999</v>
      </c>
    </row>
    <row r="64" spans="2:15" ht="13.5" thickTop="1">
      <c r="B64" s="478"/>
      <c r="C64" s="372"/>
      <c r="D64" s="372"/>
      <c r="E64" s="479"/>
      <c r="G64" s="478"/>
      <c r="H64" s="372"/>
      <c r="I64" s="372"/>
      <c r="J64" s="487"/>
      <c r="L64" s="478"/>
      <c r="M64" s="372"/>
      <c r="N64" s="372"/>
      <c r="O64" s="479"/>
    </row>
    <row r="65" spans="1:15" ht="12.75">
      <c r="A65" s="367" t="s">
        <v>329</v>
      </c>
      <c r="B65" s="481">
        <f>+B63+B46+B28</f>
        <v>246991.325</v>
      </c>
      <c r="C65" s="372"/>
      <c r="D65" s="491">
        <f>+D63+D46+D28</f>
        <v>-31265.1623</v>
      </c>
      <c r="E65" s="487">
        <f>+E63+E46+E28</f>
        <v>215726.16270000002</v>
      </c>
      <c r="G65" s="481">
        <f>+G63+G46+G28</f>
        <v>23554.621000000003</v>
      </c>
      <c r="H65" s="372"/>
      <c r="I65" s="491">
        <f>+I63+I46+I28</f>
        <v>-274.7927999999995</v>
      </c>
      <c r="J65" s="487">
        <f>+J63+J46+J28</f>
        <v>23279.828200000004</v>
      </c>
      <c r="L65" s="481">
        <f>+L63+L46+L28</f>
        <v>274313.35179</v>
      </c>
      <c r="M65" s="372"/>
      <c r="N65" s="354">
        <f>+N63+N46+N28</f>
        <v>-104293.40510000002</v>
      </c>
      <c r="O65" s="487">
        <f>+O63+O46+O28</f>
        <v>170019.94668999995</v>
      </c>
    </row>
    <row r="66" spans="2:15" ht="12.75">
      <c r="B66" s="478"/>
      <c r="C66" s="372"/>
      <c r="D66" s="372"/>
      <c r="E66" s="487"/>
      <c r="G66" s="478"/>
      <c r="H66" s="372"/>
      <c r="I66" s="372"/>
      <c r="J66" s="487"/>
      <c r="L66" s="478"/>
      <c r="M66" s="372"/>
      <c r="N66" s="372"/>
      <c r="O66" s="487"/>
    </row>
    <row r="67" spans="1:15" ht="12.75">
      <c r="A67" s="367" t="s">
        <v>86</v>
      </c>
      <c r="B67" s="478"/>
      <c r="C67" s="372"/>
      <c r="D67" s="372"/>
      <c r="E67" s="482">
        <v>0</v>
      </c>
      <c r="G67" s="478"/>
      <c r="H67" s="372" t="s">
        <v>910</v>
      </c>
      <c r="I67" s="354">
        <f>-'P&amp;L'!X61</f>
        <v>1280.2894999999999</v>
      </c>
      <c r="J67" s="482">
        <f>+I67+I68</f>
        <v>1280.2894999999999</v>
      </c>
      <c r="L67" s="478"/>
      <c r="M67" s="372" t="s">
        <v>566</v>
      </c>
      <c r="N67" s="361">
        <f>+je!J233/1000</f>
        <v>9126.518699999999</v>
      </c>
      <c r="O67" s="482">
        <f>+N67</f>
        <v>9126.518699999999</v>
      </c>
    </row>
    <row r="68" spans="2:15" ht="12.75">
      <c r="B68" s="478"/>
      <c r="C68" s="372"/>
      <c r="D68" s="372"/>
      <c r="E68" s="479"/>
      <c r="G68" s="478"/>
      <c r="H68" s="372"/>
      <c r="I68" s="354"/>
      <c r="J68" s="479"/>
      <c r="L68" s="478"/>
      <c r="M68" s="372"/>
      <c r="N68" s="372"/>
      <c r="O68" s="479"/>
    </row>
    <row r="69" spans="2:15" ht="13.5" thickBot="1">
      <c r="B69" s="495"/>
      <c r="C69" s="371"/>
      <c r="D69" s="371"/>
      <c r="E69" s="496">
        <f>+E65+E67</f>
        <v>215726.16270000002</v>
      </c>
      <c r="G69" s="497">
        <f>+G65+G67</f>
        <v>23554.621000000003</v>
      </c>
      <c r="H69" s="371"/>
      <c r="I69" s="498">
        <f>SUM(I65:I67)</f>
        <v>1005.4967000000004</v>
      </c>
      <c r="J69" s="496">
        <f>+J65+J67</f>
        <v>24560.117700000003</v>
      </c>
      <c r="L69" s="499"/>
      <c r="M69" s="371"/>
      <c r="N69" s="371"/>
      <c r="O69" s="496">
        <f>+O65+O67</f>
        <v>179146.46538999994</v>
      </c>
    </row>
    <row r="70" ht="13.5" thickTop="1"/>
    <row r="71" spans="5:15" ht="12.75">
      <c r="E71" s="349">
        <f>+'P&amp;L'!Y9</f>
        <v>215726.1627</v>
      </c>
      <c r="G71" s="349"/>
      <c r="J71" s="349">
        <f>+'P&amp;L'!Y74</f>
        <v>24560.11769999996</v>
      </c>
      <c r="O71" s="349">
        <f>+'B. Sheet'!Z98</f>
        <v>179146.46539</v>
      </c>
    </row>
    <row r="72" spans="3:15" ht="12.75">
      <c r="C72" s="500"/>
      <c r="E72" s="501">
        <f>+E69-E71</f>
        <v>0</v>
      </c>
      <c r="G72" s="354"/>
      <c r="J72" s="508">
        <f>+J69-J71</f>
        <v>4.3655745685100555E-11</v>
      </c>
      <c r="O72" s="362">
        <f>+O69-O71</f>
        <v>0</v>
      </c>
    </row>
    <row r="73" spans="1:15" ht="12.75" hidden="1">
      <c r="A73" s="377" t="s">
        <v>1354</v>
      </c>
      <c r="C73" s="500"/>
      <c r="D73" s="502">
        <f>+D11+D15+D19+D24+D32+D34+D37+D39+D42</f>
        <v>-31265.1623</v>
      </c>
      <c r="E73" s="501"/>
      <c r="G73" s="354"/>
      <c r="J73" s="376"/>
      <c r="O73" s="494"/>
    </row>
    <row r="74" spans="4:10" ht="12.75" hidden="1">
      <c r="D74" s="494">
        <f>'inter Company trasaction'!G22/1000</f>
        <v>-31194.2663</v>
      </c>
      <c r="G74" s="354"/>
      <c r="J74" s="415"/>
    </row>
    <row r="75" ht="12.75" hidden="1">
      <c r="D75" s="494">
        <f>D73-D74</f>
        <v>-70.89600000000064</v>
      </c>
    </row>
    <row r="76" ht="12.75" hidden="1">
      <c r="D76" s="415">
        <f>D75/2</f>
        <v>-35.44800000000032</v>
      </c>
    </row>
    <row r="77" ht="12.75" hidden="1"/>
  </sheetData>
  <printOptions horizontalCentered="1"/>
  <pageMargins left="0.25" right="0.25" top="0.34" bottom="0" header="0.17" footer="0.24"/>
  <pageSetup horizontalDpi="300" verticalDpi="300" orientation="landscape" paperSize="9" scale="55" r:id="rId1"/>
  <headerFooter alignWithMargins="0">
    <oddHeader>&amp;R&amp;D &amp;T</oddHeader>
  </headerFooter>
</worksheet>
</file>

<file path=xl/worksheets/sheet23.xml><?xml version="1.0" encoding="utf-8"?>
<worksheet xmlns="http://schemas.openxmlformats.org/spreadsheetml/2006/main" xmlns:r="http://schemas.openxmlformats.org/officeDocument/2006/relationships">
  <dimension ref="A1:G36"/>
  <sheetViews>
    <sheetView workbookViewId="0" topLeftCell="A4">
      <selection activeCell="E20" sqref="E20"/>
    </sheetView>
  </sheetViews>
  <sheetFormatPr defaultColWidth="9.140625" defaultRowHeight="12.75"/>
  <cols>
    <col min="1" max="1" width="4.140625" style="367" customWidth="1"/>
    <col min="2" max="2" width="12.140625" style="367" customWidth="1"/>
    <col min="3" max="3" width="23.140625" style="367" customWidth="1"/>
    <col min="4" max="4" width="12.7109375" style="367" customWidth="1"/>
    <col min="5" max="5" width="15.57421875" style="367" customWidth="1"/>
    <col min="6" max="6" width="13.28125" style="367" customWidth="1"/>
    <col min="7" max="16384" width="8.8515625" style="367" customWidth="1"/>
  </cols>
  <sheetData>
    <row r="1" ht="12.75">
      <c r="A1" s="379" t="s">
        <v>1007</v>
      </c>
    </row>
    <row r="2" ht="12.75">
      <c r="A2" s="379" t="s">
        <v>214</v>
      </c>
    </row>
    <row r="4" ht="12.75">
      <c r="A4" s="388" t="s">
        <v>1035</v>
      </c>
    </row>
    <row r="5" spans="1:6" s="390" customFormat="1" ht="12.75">
      <c r="A5" s="389"/>
      <c r="B5" s="390" t="s">
        <v>1009</v>
      </c>
      <c r="C5" s="390" t="s">
        <v>1010</v>
      </c>
      <c r="D5" s="390" t="s">
        <v>1036</v>
      </c>
      <c r="E5" s="390" t="s">
        <v>376</v>
      </c>
      <c r="F5" s="390" t="s">
        <v>376</v>
      </c>
    </row>
    <row r="6" spans="1:6" s="390" customFormat="1" ht="12.75">
      <c r="A6" s="389"/>
      <c r="D6" s="390" t="s">
        <v>1037</v>
      </c>
      <c r="E6" s="390" t="s">
        <v>1038</v>
      </c>
      <c r="F6" s="390" t="s">
        <v>1038</v>
      </c>
    </row>
    <row r="7" spans="1:6" s="390" customFormat="1" ht="12.75">
      <c r="A7" s="389"/>
      <c r="B7" s="391"/>
      <c r="D7" s="390" t="s">
        <v>317</v>
      </c>
      <c r="E7" s="390" t="s">
        <v>317</v>
      </c>
      <c r="F7" s="390" t="s">
        <v>521</v>
      </c>
    </row>
    <row r="8" spans="1:6" s="369" customFormat="1" ht="12.75">
      <c r="A8" s="389"/>
      <c r="B8" s="392"/>
      <c r="E8" s="393"/>
      <c r="F8" s="393"/>
    </row>
    <row r="9" spans="1:6" ht="12.75">
      <c r="A9" s="367">
        <v>1</v>
      </c>
      <c r="B9" s="396">
        <v>0.0667</v>
      </c>
      <c r="C9" s="387" t="s">
        <v>899</v>
      </c>
      <c r="D9" s="395">
        <f>+'B. Sheet'!C82*1000</f>
        <v>-14443480.000000002</v>
      </c>
      <c r="E9" s="395">
        <f>D9*B9</f>
        <v>-963380.116</v>
      </c>
      <c r="F9" s="395">
        <f aca="true" t="shared" si="0" ref="F9:F15">E9/1000</f>
        <v>-963.380116</v>
      </c>
    </row>
    <row r="10" spans="1:6" ht="12.75">
      <c r="A10" s="367">
        <f>A9+1</f>
        <v>2</v>
      </c>
      <c r="B10" s="394">
        <v>0.4</v>
      </c>
      <c r="C10" s="387" t="s">
        <v>1016</v>
      </c>
      <c r="D10" s="395">
        <f>+'B. Sheet'!M82*1000</f>
        <v>124289348.99999999</v>
      </c>
      <c r="E10" s="395">
        <f>D10*B10</f>
        <v>49715739.599999994</v>
      </c>
      <c r="F10" s="395">
        <f>E10/1000</f>
        <v>49715.73959999999</v>
      </c>
    </row>
    <row r="11" spans="1:6" s="368" customFormat="1" ht="12.75">
      <c r="A11" s="560">
        <f>A10+1</f>
        <v>3</v>
      </c>
      <c r="B11" s="561">
        <v>0</v>
      </c>
      <c r="C11" s="562" t="s">
        <v>1019</v>
      </c>
      <c r="D11" s="563">
        <f>+'B. Sheet'!G82*1000</f>
        <v>4239367.999999999</v>
      </c>
      <c r="E11" s="563">
        <f>D11*B11</f>
        <v>0</v>
      </c>
      <c r="F11" s="563">
        <f t="shared" si="0"/>
        <v>0</v>
      </c>
    </row>
    <row r="12" spans="1:6" ht="12.75">
      <c r="A12" s="367">
        <f>A11+1</f>
        <v>4</v>
      </c>
      <c r="B12" s="394">
        <v>0.4</v>
      </c>
      <c r="C12" s="387" t="s">
        <v>1021</v>
      </c>
      <c r="D12" s="395">
        <f>+'B. Sheet'!N82*1000</f>
        <v>22320036.000000004</v>
      </c>
      <c r="E12" s="395">
        <f>D12*B12</f>
        <v>8928014.400000002</v>
      </c>
      <c r="F12" s="395">
        <f t="shared" si="0"/>
        <v>8928.014400000002</v>
      </c>
    </row>
    <row r="13" spans="1:6" ht="12.75">
      <c r="A13" s="367">
        <f>A12+1</f>
        <v>5</v>
      </c>
      <c r="B13" s="394">
        <v>0.4</v>
      </c>
      <c r="C13" s="387" t="s">
        <v>1022</v>
      </c>
      <c r="D13" s="395">
        <f>+'B. Sheet'!O82*1000</f>
        <v>74762.00000000001</v>
      </c>
      <c r="E13" s="395">
        <f>D13*B13</f>
        <v>29904.800000000007</v>
      </c>
      <c r="F13" s="395">
        <f t="shared" si="0"/>
        <v>29.904800000000005</v>
      </c>
    </row>
    <row r="14" spans="1:6" ht="12.75">
      <c r="A14" s="367">
        <v>6</v>
      </c>
      <c r="B14" s="394">
        <v>0.3</v>
      </c>
      <c r="C14" s="387" t="s">
        <v>209</v>
      </c>
      <c r="D14" s="397">
        <f>+'B. Sheet'!T82*1000</f>
        <v>0</v>
      </c>
      <c r="E14" s="397">
        <v>-330000</v>
      </c>
      <c r="F14" s="397">
        <f t="shared" si="0"/>
        <v>-330</v>
      </c>
    </row>
    <row r="15" spans="2:7" ht="12.75">
      <c r="B15" s="394">
        <v>0.3</v>
      </c>
      <c r="C15" s="387" t="s">
        <v>273</v>
      </c>
      <c r="D15" s="407">
        <f>'B. Sheet'!U82*1000</f>
        <v>0</v>
      </c>
      <c r="E15" s="407">
        <v>3896</v>
      </c>
      <c r="F15" s="407">
        <f t="shared" si="0"/>
        <v>3.896</v>
      </c>
      <c r="G15" s="367" t="s">
        <v>285</v>
      </c>
    </row>
    <row r="16" spans="2:6" ht="12.75">
      <c r="B16" s="394"/>
      <c r="D16" s="399">
        <f>SUM(D9:D15)</f>
        <v>136480035</v>
      </c>
      <c r="E16" s="399">
        <f>SUM(E9:E15)</f>
        <v>57384174.684</v>
      </c>
      <c r="F16" s="399">
        <f>SUM(F9:F15)</f>
        <v>57384.17468399999</v>
      </c>
    </row>
    <row r="17" spans="2:6" ht="12.75">
      <c r="B17" s="394"/>
      <c r="D17" s="352"/>
      <c r="E17" s="399"/>
      <c r="F17" s="399"/>
    </row>
    <row r="18" spans="2:6" ht="12.75">
      <c r="B18" s="394" t="s">
        <v>1030</v>
      </c>
      <c r="C18" s="367" t="s">
        <v>1039</v>
      </c>
      <c r="D18" s="352"/>
      <c r="E18" s="399"/>
      <c r="F18" s="399">
        <f>-working!J73/1000</f>
        <v>0</v>
      </c>
    </row>
    <row r="19" spans="2:6" ht="12.75">
      <c r="B19" s="394"/>
      <c r="C19" s="367" t="s">
        <v>1220</v>
      </c>
      <c r="D19" s="352"/>
      <c r="E19" s="399"/>
      <c r="F19" s="399">
        <f>-working!J36-working!C35-36</f>
        <v>927.48</v>
      </c>
    </row>
    <row r="20" spans="2:6" ht="12.75">
      <c r="B20" s="394"/>
      <c r="C20" s="367" t="s">
        <v>1040</v>
      </c>
      <c r="D20" s="352"/>
      <c r="F20" s="399">
        <f>+working!D48+working!D49+working!D50+working!D51+working!D52+working!D53+working!D54+working!D55+working!D56-je!D131/1000-je!G130/1000</f>
        <v>3758.7330000000006</v>
      </c>
    </row>
    <row r="21" spans="2:7" ht="12.75">
      <c r="B21" s="394"/>
      <c r="C21" s="367" t="s">
        <v>1069</v>
      </c>
      <c r="D21" s="352"/>
      <c r="E21" s="399"/>
      <c r="F21" s="405">
        <f>-856*0.4</f>
        <v>-342.40000000000003</v>
      </c>
      <c r="G21" s="367" t="s">
        <v>286</v>
      </c>
    </row>
    <row r="22" spans="2:6" ht="12.75" hidden="1">
      <c r="B22" s="394"/>
      <c r="C22" s="368" t="s">
        <v>219</v>
      </c>
      <c r="D22" s="375"/>
      <c r="E22" s="405"/>
      <c r="F22" s="405">
        <f>je!C171/1000</f>
        <v>0</v>
      </c>
    </row>
    <row r="23" spans="2:6" s="368" customFormat="1" ht="12.75" hidden="1">
      <c r="B23" s="507"/>
      <c r="D23" s="375"/>
      <c r="E23" s="405"/>
      <c r="F23" s="405"/>
    </row>
    <row r="24" spans="2:6" ht="12.75">
      <c r="B24" s="394"/>
      <c r="D24" s="352"/>
      <c r="E24" s="399"/>
      <c r="F24" s="405"/>
    </row>
    <row r="25" spans="2:6" ht="12.75">
      <c r="B25" s="394"/>
      <c r="D25" s="352"/>
      <c r="E25" s="399"/>
      <c r="F25" s="401">
        <f>SUM(F16:F23)</f>
        <v>61727.98768399999</v>
      </c>
    </row>
    <row r="26" spans="2:6" ht="12.75">
      <c r="B26" s="394"/>
      <c r="D26" s="352"/>
      <c r="E26" s="399"/>
      <c r="F26" s="399"/>
    </row>
    <row r="27" spans="2:6" ht="12.75">
      <c r="B27" s="394"/>
      <c r="C27" s="367" t="s">
        <v>1498</v>
      </c>
      <c r="D27" s="352"/>
      <c r="E27" s="399"/>
      <c r="F27" s="402">
        <f>+'B. Sheet'!Y84</f>
        <v>61763.886999999995</v>
      </c>
    </row>
    <row r="28" spans="2:7" ht="13.5" thickBot="1">
      <c r="B28" s="394"/>
      <c r="C28" s="367" t="s">
        <v>1033</v>
      </c>
      <c r="D28" s="352"/>
      <c r="E28" s="399"/>
      <c r="F28" s="408">
        <f>F25-F27</f>
        <v>-35.89931600000273</v>
      </c>
      <c r="G28" s="403" t="s">
        <v>1034</v>
      </c>
    </row>
    <row r="29" spans="2:6" ht="13.5" thickTop="1">
      <c r="B29" s="394"/>
      <c r="D29" s="352"/>
      <c r="E29" s="399"/>
      <c r="F29" s="399"/>
    </row>
    <row r="30" spans="2:6" ht="12.75">
      <c r="B30" s="394"/>
      <c r="E30" s="395"/>
      <c r="F30" s="395"/>
    </row>
    <row r="31" spans="2:6" ht="12.75">
      <c r="B31" s="394"/>
      <c r="E31" s="395"/>
      <c r="F31" s="395"/>
    </row>
    <row r="32" spans="2:6" ht="12.75">
      <c r="B32" s="394"/>
      <c r="E32" s="395"/>
      <c r="F32" s="395"/>
    </row>
    <row r="33" spans="2:6" ht="12.75">
      <c r="B33" s="394"/>
      <c r="E33" s="395"/>
      <c r="F33" s="395"/>
    </row>
    <row r="34" spans="2:6" ht="12.75">
      <c r="B34" s="394"/>
      <c r="E34" s="395"/>
      <c r="F34" s="395"/>
    </row>
    <row r="35" spans="2:6" ht="12.75">
      <c r="B35" s="394"/>
      <c r="E35" s="395"/>
      <c r="F35" s="395"/>
    </row>
    <row r="36" spans="2:6" ht="12.75">
      <c r="B36" s="394"/>
      <c r="E36" s="395"/>
      <c r="F36" s="395"/>
    </row>
  </sheetData>
  <printOptions/>
  <pageMargins left="0.75" right="0.25" top="0.75" bottom="0.25" header="0.5" footer="0.5"/>
  <pageSetup horizontalDpi="300" verticalDpi="300" orientation="portrait" paperSize="9" scale="87" r:id="rId1"/>
  <headerFooter alignWithMargins="0">
    <oddHeader>&amp;R&amp;D  &amp;T</oddHeader>
  </headerFooter>
</worksheet>
</file>

<file path=xl/worksheets/sheet24.xml><?xml version="1.0" encoding="utf-8"?>
<worksheet xmlns="http://schemas.openxmlformats.org/spreadsheetml/2006/main" xmlns:r="http://schemas.openxmlformats.org/officeDocument/2006/relationships">
  <dimension ref="A1:G58"/>
  <sheetViews>
    <sheetView workbookViewId="0" topLeftCell="A32">
      <selection activeCell="F44" sqref="F44"/>
    </sheetView>
  </sheetViews>
  <sheetFormatPr defaultColWidth="9.140625" defaultRowHeight="12.75"/>
  <cols>
    <col min="1" max="1" width="4.140625" style="367" customWidth="1"/>
    <col min="2" max="2" width="12.140625" style="367" customWidth="1"/>
    <col min="3" max="3" width="19.7109375" style="367" customWidth="1"/>
    <col min="4" max="4" width="13.7109375" style="367" customWidth="1"/>
    <col min="5" max="5" width="16.8515625" style="367" customWidth="1"/>
    <col min="6" max="6" width="13.7109375" style="367" customWidth="1"/>
    <col min="7" max="16384" width="8.8515625" style="367" customWidth="1"/>
  </cols>
  <sheetData>
    <row r="1" ht="12.75">
      <c r="A1" s="379" t="s">
        <v>1007</v>
      </c>
    </row>
    <row r="2" ht="12.75">
      <c r="A2" s="379" t="s">
        <v>91</v>
      </c>
    </row>
    <row r="4" ht="12.75">
      <c r="A4" s="388" t="s">
        <v>1008</v>
      </c>
    </row>
    <row r="5" spans="1:6" s="390" customFormat="1" ht="12.75">
      <c r="A5" s="389"/>
      <c r="B5" s="390" t="s">
        <v>1009</v>
      </c>
      <c r="C5" s="390" t="s">
        <v>1010</v>
      </c>
      <c r="D5" s="390" t="s">
        <v>1011</v>
      </c>
      <c r="E5" s="390" t="s">
        <v>1012</v>
      </c>
      <c r="F5" s="390" t="s">
        <v>1012</v>
      </c>
    </row>
    <row r="6" spans="1:6" s="390" customFormat="1" ht="12.75">
      <c r="A6" s="389"/>
      <c r="B6" s="391"/>
      <c r="D6" s="390" t="s">
        <v>317</v>
      </c>
      <c r="E6" s="390" t="s">
        <v>317</v>
      </c>
      <c r="F6" s="390" t="s">
        <v>521</v>
      </c>
    </row>
    <row r="7" spans="1:6" s="369" customFormat="1" ht="12.75">
      <c r="A7" s="389"/>
      <c r="B7" s="392"/>
      <c r="E7" s="393"/>
      <c r="F7" s="393"/>
    </row>
    <row r="8" spans="1:6" ht="12.75">
      <c r="A8" s="367">
        <v>1</v>
      </c>
      <c r="B8" s="394">
        <v>1</v>
      </c>
      <c r="C8" s="387" t="s">
        <v>1013</v>
      </c>
      <c r="D8" s="395">
        <f>+'B. Sheet'!K72*1000+'B. Sheet'!K71*1000</f>
        <v>-61190465</v>
      </c>
      <c r="E8" s="395">
        <f>D8*B8</f>
        <v>-61190465</v>
      </c>
      <c r="F8" s="395">
        <f>E8/1000</f>
        <v>-61190.465</v>
      </c>
    </row>
    <row r="9" spans="1:6" ht="12.75">
      <c r="A9" s="367">
        <f>A8+1</f>
        <v>2</v>
      </c>
      <c r="B9" s="394">
        <v>1</v>
      </c>
      <c r="C9" s="387" t="s">
        <v>1014</v>
      </c>
      <c r="D9" s="395">
        <f>+'B. Sheet'!F72*1000+'B. Sheet'!F71*1000</f>
        <v>-2103173</v>
      </c>
      <c r="E9" s="395">
        <f aca="true" t="shared" si="0" ref="E9:E24">D9*B9</f>
        <v>-2103173</v>
      </c>
      <c r="F9" s="395">
        <f aca="true" t="shared" si="1" ref="F9:F26">E9/1000</f>
        <v>-2103.173</v>
      </c>
    </row>
    <row r="10" spans="1:6" ht="12.75">
      <c r="A10" s="367">
        <f aca="true" t="shared" si="2" ref="A10:A24">A9+1</f>
        <v>3</v>
      </c>
      <c r="B10" s="396">
        <v>0.9333</v>
      </c>
      <c r="C10" s="387" t="s">
        <v>899</v>
      </c>
      <c r="D10" s="395">
        <f>+'B. Sheet'!C72*1000+'B. Sheet'!C71*1000</f>
        <v>-17443477</v>
      </c>
      <c r="E10" s="395">
        <f t="shared" si="0"/>
        <v>-16279997.0841</v>
      </c>
      <c r="F10" s="395">
        <f t="shared" si="1"/>
        <v>-16279.997084100001</v>
      </c>
    </row>
    <row r="11" spans="1:6" ht="12.75">
      <c r="A11" s="367">
        <f t="shared" si="2"/>
        <v>4</v>
      </c>
      <c r="B11" s="394">
        <v>1</v>
      </c>
      <c r="C11" s="387" t="s">
        <v>1015</v>
      </c>
      <c r="D11" s="395">
        <f>+'B. Sheet'!E72*1000+'B. Sheet'!E71*1000</f>
        <v>-743839</v>
      </c>
      <c r="E11" s="395">
        <f t="shared" si="0"/>
        <v>-743839</v>
      </c>
      <c r="F11" s="395">
        <f t="shared" si="1"/>
        <v>-743.839</v>
      </c>
    </row>
    <row r="12" spans="1:6" ht="12.75">
      <c r="A12" s="367">
        <f t="shared" si="2"/>
        <v>5</v>
      </c>
      <c r="B12" s="394">
        <v>0.6</v>
      </c>
      <c r="C12" s="387" t="s">
        <v>1016</v>
      </c>
      <c r="D12" s="395">
        <f>+'B. Sheet'!M72*1000+'B. Sheet'!M71*1000+'B. Sheet'!M80*1000</f>
        <v>121433349</v>
      </c>
      <c r="E12" s="395">
        <f>D12*B12</f>
        <v>72860009.39999999</v>
      </c>
      <c r="F12" s="395">
        <f t="shared" si="1"/>
        <v>72860.0094</v>
      </c>
    </row>
    <row r="13" spans="1:6" ht="12.75">
      <c r="A13" s="367">
        <f t="shared" si="2"/>
        <v>6</v>
      </c>
      <c r="B13" s="394">
        <v>1</v>
      </c>
      <c r="C13" s="387" t="s">
        <v>1017</v>
      </c>
      <c r="D13" s="395">
        <f>+'B. Sheet'!H72*1000+'B. Sheet'!H71*1000</f>
        <v>-3852730</v>
      </c>
      <c r="E13" s="395">
        <f t="shared" si="0"/>
        <v>-3852730</v>
      </c>
      <c r="F13" s="395">
        <f t="shared" si="1"/>
        <v>-3852.73</v>
      </c>
    </row>
    <row r="14" spans="1:6" ht="12.75">
      <c r="A14" s="367">
        <f t="shared" si="2"/>
        <v>7</v>
      </c>
      <c r="B14" s="394">
        <v>1</v>
      </c>
      <c r="C14" s="387" t="s">
        <v>1018</v>
      </c>
      <c r="D14" s="395">
        <f>+'B. Sheet'!B72*1000+'B. Sheet'!B71*1000</f>
        <v>-23633417</v>
      </c>
      <c r="E14" s="395">
        <f t="shared" si="0"/>
        <v>-23633417</v>
      </c>
      <c r="F14" s="395">
        <f t="shared" si="1"/>
        <v>-23633.417</v>
      </c>
    </row>
    <row r="15" spans="1:6" ht="12.75">
      <c r="A15" s="367">
        <f t="shared" si="2"/>
        <v>8</v>
      </c>
      <c r="B15" s="394">
        <v>1</v>
      </c>
      <c r="C15" s="387" t="s">
        <v>1019</v>
      </c>
      <c r="D15" s="395">
        <f>+'B. Sheet'!G72*1000+'B. Sheet'!G71*1000</f>
        <v>2989368</v>
      </c>
      <c r="E15" s="395">
        <f t="shared" si="0"/>
        <v>2989368</v>
      </c>
      <c r="F15" s="395">
        <f t="shared" si="1"/>
        <v>2989.368</v>
      </c>
    </row>
    <row r="16" spans="1:6" ht="12.75">
      <c r="A16" s="367">
        <f t="shared" si="2"/>
        <v>9</v>
      </c>
      <c r="B16" s="394">
        <v>1</v>
      </c>
      <c r="C16" s="387" t="s">
        <v>1020</v>
      </c>
      <c r="D16" s="395">
        <f>+'B. Sheet'!D72*1000+'B. Sheet'!D71*1000</f>
        <v>-9339913</v>
      </c>
      <c r="E16" s="395">
        <f t="shared" si="0"/>
        <v>-9339913</v>
      </c>
      <c r="F16" s="395">
        <f t="shared" si="1"/>
        <v>-9339.913</v>
      </c>
    </row>
    <row r="17" spans="1:6" ht="12.75">
      <c r="A17" s="367">
        <f t="shared" si="2"/>
        <v>10</v>
      </c>
      <c r="B17" s="394">
        <v>0.6</v>
      </c>
      <c r="C17" s="387" t="s">
        <v>1021</v>
      </c>
      <c r="D17" s="395">
        <f>+'B. Sheet'!N72*1000+'B. Sheet'!N71*1000</f>
        <v>20212577.000000007</v>
      </c>
      <c r="E17" s="395">
        <f t="shared" si="0"/>
        <v>12127546.200000005</v>
      </c>
      <c r="F17" s="395">
        <f t="shared" si="1"/>
        <v>12127.546200000004</v>
      </c>
    </row>
    <row r="18" spans="1:6" ht="12.75">
      <c r="A18" s="367">
        <f t="shared" si="2"/>
        <v>11</v>
      </c>
      <c r="B18" s="394">
        <v>0.6</v>
      </c>
      <c r="C18" s="387" t="s">
        <v>1022</v>
      </c>
      <c r="D18" s="395">
        <f>+'B. Sheet'!O72*1000+'B. Sheet'!O71*1000</f>
        <v>-25238</v>
      </c>
      <c r="E18" s="395">
        <f t="shared" si="0"/>
        <v>-15142.8</v>
      </c>
      <c r="F18" s="395">
        <f t="shared" si="1"/>
        <v>-15.1428</v>
      </c>
    </row>
    <row r="19" spans="1:6" ht="12.75">
      <c r="A19" s="367">
        <f t="shared" si="2"/>
        <v>12</v>
      </c>
      <c r="B19" s="394">
        <v>1</v>
      </c>
      <c r="C19" s="387" t="s">
        <v>1024</v>
      </c>
      <c r="D19" s="395">
        <f>+'B. Sheet'!P72*1000+'B. Sheet'!P71*1000</f>
        <v>-478766.00000000006</v>
      </c>
      <c r="E19" s="395">
        <f t="shared" si="0"/>
        <v>-478766.00000000006</v>
      </c>
      <c r="F19" s="395">
        <f t="shared" si="1"/>
        <v>-478.7660000000001</v>
      </c>
    </row>
    <row r="20" spans="1:6" ht="12.75">
      <c r="A20" s="367">
        <f t="shared" si="2"/>
        <v>13</v>
      </c>
      <c r="B20" s="394">
        <v>1</v>
      </c>
      <c r="C20" s="387" t="s">
        <v>1025</v>
      </c>
      <c r="D20" s="395">
        <f>+'B. Sheet'!Q72*1000+'B. Sheet'!Q71*1000</f>
        <v>-12244794</v>
      </c>
      <c r="E20" s="395">
        <f t="shared" si="0"/>
        <v>-12244794</v>
      </c>
      <c r="F20" s="395">
        <f t="shared" si="1"/>
        <v>-12244.794</v>
      </c>
    </row>
    <row r="21" spans="1:6" ht="12.75">
      <c r="A21" s="367">
        <f t="shared" si="2"/>
        <v>14</v>
      </c>
      <c r="B21" s="394">
        <v>1</v>
      </c>
      <c r="C21" s="387" t="s">
        <v>1026</v>
      </c>
      <c r="D21" s="395">
        <f>+'B. Sheet'!I72*1000+'B. Sheet'!I71*1000</f>
        <v>-724458.0000000001</v>
      </c>
      <c r="E21" s="395">
        <f t="shared" si="0"/>
        <v>-724458.0000000001</v>
      </c>
      <c r="F21" s="395">
        <f t="shared" si="1"/>
        <v>-724.4580000000001</v>
      </c>
    </row>
    <row r="22" spans="1:6" ht="12.75">
      <c r="A22" s="367">
        <f t="shared" si="2"/>
        <v>15</v>
      </c>
      <c r="B22" s="394">
        <v>1</v>
      </c>
      <c r="C22" s="387" t="s">
        <v>1027</v>
      </c>
      <c r="D22" s="395">
        <f>+'B. Sheet'!S72*1000+'B. Sheet'!S71*1000</f>
        <v>-661117.35</v>
      </c>
      <c r="E22" s="395">
        <f t="shared" si="0"/>
        <v>-661117.35</v>
      </c>
      <c r="F22" s="395">
        <f t="shared" si="1"/>
        <v>-661.11735</v>
      </c>
    </row>
    <row r="23" spans="1:6" ht="12.75">
      <c r="A23" s="367">
        <f t="shared" si="2"/>
        <v>16</v>
      </c>
      <c r="B23" s="394">
        <v>1</v>
      </c>
      <c r="C23" s="387" t="s">
        <v>1028</v>
      </c>
      <c r="D23" s="395">
        <f>+'B. Sheet'!R72*1000+'B. Sheet'!R71*1000</f>
        <v>-3444351</v>
      </c>
      <c r="E23" s="395">
        <f t="shared" si="0"/>
        <v>-3444351</v>
      </c>
      <c r="F23" s="395">
        <f t="shared" si="1"/>
        <v>-3444.351</v>
      </c>
    </row>
    <row r="24" spans="1:6" ht="12.75">
      <c r="A24" s="367">
        <f t="shared" si="2"/>
        <v>17</v>
      </c>
      <c r="B24" s="394">
        <v>1</v>
      </c>
      <c r="C24" s="387" t="s">
        <v>1029</v>
      </c>
      <c r="D24" s="397">
        <f>+'B. Sheet'!V72*1000+'B. Sheet'!V71*1000</f>
        <v>-13684</v>
      </c>
      <c r="E24" s="397">
        <f t="shared" si="0"/>
        <v>-13684</v>
      </c>
      <c r="F24" s="397">
        <f t="shared" si="1"/>
        <v>-13.684</v>
      </c>
    </row>
    <row r="25" spans="1:6" ht="12.75">
      <c r="A25" s="367">
        <v>18</v>
      </c>
      <c r="B25" s="394">
        <v>0.7</v>
      </c>
      <c r="C25" s="387" t="s">
        <v>209</v>
      </c>
      <c r="D25" s="397">
        <f>+'B. Sheet'!T71*1000+'B. Sheet'!T72*1000</f>
        <v>0</v>
      </c>
      <c r="E25" s="397">
        <f>D25*B25</f>
        <v>0</v>
      </c>
      <c r="F25" s="397">
        <f t="shared" si="1"/>
        <v>0</v>
      </c>
    </row>
    <row r="26" spans="1:6" ht="12.75">
      <c r="A26" s="367">
        <v>19</v>
      </c>
      <c r="B26" s="394">
        <v>0.7</v>
      </c>
      <c r="C26" s="387" t="s">
        <v>273</v>
      </c>
      <c r="D26" s="397">
        <f>+'B. Sheet'!U72*1000+'B. Sheet'!U73*1000</f>
        <v>0</v>
      </c>
      <c r="E26" s="397">
        <f>D26*B26</f>
        <v>0</v>
      </c>
      <c r="F26" s="397">
        <f t="shared" si="1"/>
        <v>0</v>
      </c>
    </row>
    <row r="27" spans="2:6" ht="12.75">
      <c r="B27" s="394"/>
      <c r="D27" s="398">
        <f>SUM(D8:D26)</f>
        <v>8735871.650000008</v>
      </c>
      <c r="E27" s="398">
        <f>SUM(E8:E26)</f>
        <v>-46748923.63410001</v>
      </c>
      <c r="F27" s="398">
        <f>SUM(F8:F26)</f>
        <v>-46748.9236341</v>
      </c>
    </row>
    <row r="28" spans="2:6" ht="12.75">
      <c r="B28" s="394"/>
      <c r="D28" s="352"/>
      <c r="E28" s="399"/>
      <c r="F28" s="399"/>
    </row>
    <row r="29" spans="2:6" ht="12.75">
      <c r="B29" s="394" t="s">
        <v>1030</v>
      </c>
      <c r="C29" s="367" t="s">
        <v>1031</v>
      </c>
      <c r="D29" s="352"/>
      <c r="E29" s="399"/>
      <c r="F29" s="510">
        <f>-je!C7/1000</f>
        <v>-896.04</v>
      </c>
    </row>
    <row r="30" spans="2:6" ht="12.75">
      <c r="B30" s="394"/>
      <c r="C30" s="367" t="s">
        <v>1068</v>
      </c>
      <c r="D30" s="352"/>
      <c r="E30" s="399"/>
      <c r="F30" s="399">
        <f>-je!C94/1000+je!C95/1000</f>
        <v>0</v>
      </c>
    </row>
    <row r="31" spans="2:6" ht="12.75">
      <c r="B31" s="394"/>
      <c r="C31" s="367" t="s">
        <v>1043</v>
      </c>
      <c r="D31" s="352"/>
      <c r="F31" s="399">
        <f>+je!C101/1000</f>
        <v>0</v>
      </c>
    </row>
    <row r="32" spans="2:6" ht="12.75">
      <c r="B32" s="394"/>
      <c r="C32" s="367" t="s">
        <v>1220</v>
      </c>
      <c r="D32" s="352"/>
      <c r="F32" s="399">
        <f>+working!J36+working!C35</f>
        <v>-963.48</v>
      </c>
    </row>
    <row r="33" spans="2:6" ht="12.75">
      <c r="B33" s="394"/>
      <c r="C33" s="367" t="s">
        <v>1044</v>
      </c>
      <c r="D33" s="352"/>
      <c r="E33" s="399"/>
      <c r="F33" s="510">
        <f>+je!D33/1000</f>
        <v>-385.734</v>
      </c>
    </row>
    <row r="34" spans="2:6" ht="12.75">
      <c r="B34" s="394"/>
      <c r="C34" s="367" t="s">
        <v>1101</v>
      </c>
      <c r="D34" s="352"/>
      <c r="E34" s="399"/>
      <c r="F34" s="399">
        <f>-je!D39/1000-je!D41/1000+je!D111/1000-je!C38/1000-je!N118/1000</f>
        <v>7056.927000000001</v>
      </c>
    </row>
    <row r="35" spans="2:6" ht="12.75">
      <c r="B35" s="394"/>
      <c r="C35" s="367" t="s">
        <v>1045</v>
      </c>
      <c r="D35" s="352"/>
      <c r="F35" s="399">
        <f>-working!D49-working!D51-working!D52-working!D53-working!D54-working!D56-working!D55</f>
        <v>-2912.674000000001</v>
      </c>
    </row>
    <row r="36" spans="2:6" ht="12.75">
      <c r="B36" s="394"/>
      <c r="C36" s="367" t="s">
        <v>196</v>
      </c>
      <c r="D36" s="352"/>
      <c r="F36" s="399"/>
    </row>
    <row r="37" spans="2:6" ht="12.75">
      <c r="B37" s="394"/>
      <c r="C37" s="367" t="s">
        <v>8</v>
      </c>
      <c r="D37" s="352"/>
      <c r="E37" s="399"/>
      <c r="F37" s="399">
        <f>-je!D149/1000</f>
        <v>50279.048</v>
      </c>
    </row>
    <row r="38" spans="2:6" ht="12.75">
      <c r="B38" s="394"/>
      <c r="C38" s="367" t="s">
        <v>1238</v>
      </c>
      <c r="D38" s="352"/>
      <c r="E38" s="399"/>
      <c r="F38" s="400">
        <f>-je!D153/1000</f>
        <v>3559.35</v>
      </c>
    </row>
    <row r="39" spans="2:6" ht="12.75">
      <c r="B39" s="394"/>
      <c r="C39" s="367" t="s">
        <v>49</v>
      </c>
      <c r="D39" s="352"/>
      <c r="E39" s="399"/>
      <c r="F39" s="400">
        <f>-je!C156/1000</f>
        <v>-3044.5181</v>
      </c>
    </row>
    <row r="40" spans="2:7" ht="12.75">
      <c r="B40" s="394"/>
      <c r="C40" s="367" t="s">
        <v>48</v>
      </c>
      <c r="D40" s="352"/>
      <c r="E40" s="399"/>
      <c r="F40" s="400">
        <f>-je!C160/1000-je!D161/1000</f>
        <v>-1619.451</v>
      </c>
      <c r="G40" s="395"/>
    </row>
    <row r="41" spans="2:7" ht="12.75">
      <c r="B41" s="394"/>
      <c r="C41" s="367" t="s">
        <v>93</v>
      </c>
      <c r="D41" s="352"/>
      <c r="E41" s="399"/>
      <c r="F41" s="400">
        <f>-je!D167/1000</f>
        <v>13997.631</v>
      </c>
      <c r="G41" s="395"/>
    </row>
    <row r="42" spans="2:6" ht="12.75">
      <c r="B42" s="394"/>
      <c r="C42" s="368" t="s">
        <v>211</v>
      </c>
      <c r="D42" s="375"/>
      <c r="E42" s="405"/>
      <c r="F42" s="406">
        <f>+je!C171/1000</f>
        <v>0</v>
      </c>
    </row>
    <row r="43" spans="2:6" ht="12.75">
      <c r="B43" s="394"/>
      <c r="C43" s="367" t="s">
        <v>311</v>
      </c>
      <c r="D43" s="352"/>
      <c r="E43" s="399"/>
      <c r="F43" s="400">
        <f>-je!D171/1000</f>
        <v>4031.97</v>
      </c>
    </row>
    <row r="44" spans="2:6" ht="12.75">
      <c r="B44" s="394"/>
      <c r="C44" s="367" t="s">
        <v>1425</v>
      </c>
      <c r="D44" s="352"/>
      <c r="E44" s="399"/>
      <c r="F44" s="443">
        <f>-(je!C175+je!C176)/1000</f>
        <v>-478.183</v>
      </c>
    </row>
    <row r="45" spans="2:6" ht="12.75">
      <c r="B45" s="394"/>
      <c r="C45" s="367" t="s">
        <v>194</v>
      </c>
      <c r="D45" s="352"/>
      <c r="E45" s="399"/>
      <c r="F45" s="443">
        <f>-je!D182/1000</f>
        <v>2210.118</v>
      </c>
    </row>
    <row r="46" spans="2:6" ht="12.75">
      <c r="B46" s="394"/>
      <c r="C46" s="367" t="s">
        <v>195</v>
      </c>
      <c r="D46" s="352"/>
      <c r="E46" s="399"/>
      <c r="F46" s="406">
        <f>-je!D186/1000</f>
        <v>-129.718</v>
      </c>
    </row>
    <row r="47" spans="2:6" ht="12.75">
      <c r="B47" s="394"/>
      <c r="C47" s="367" t="s">
        <v>500</v>
      </c>
      <c r="D47" s="352"/>
      <c r="E47" s="399"/>
      <c r="F47" s="406">
        <f>je!D198/1000</f>
        <v>1269.643</v>
      </c>
    </row>
    <row r="48" spans="2:6" ht="12.75">
      <c r="B48" s="394"/>
      <c r="D48" s="352"/>
      <c r="E48" s="399"/>
      <c r="F48" s="406"/>
    </row>
    <row r="49" spans="2:7" ht="12.75">
      <c r="B49" s="394"/>
      <c r="D49" s="352"/>
      <c r="E49" s="399"/>
      <c r="F49" s="400"/>
      <c r="G49" s="395"/>
    </row>
    <row r="50" spans="2:6" ht="12.75">
      <c r="B50" s="394"/>
      <c r="D50" s="352"/>
      <c r="E50" s="399"/>
      <c r="F50" s="401">
        <f>SUM(F27:F49)</f>
        <v>25225.965265900006</v>
      </c>
    </row>
    <row r="51" spans="2:6" ht="12.75">
      <c r="B51" s="394"/>
      <c r="D51" s="352"/>
      <c r="E51" s="399"/>
      <c r="F51" s="399"/>
    </row>
    <row r="52" spans="2:6" ht="12.75">
      <c r="B52" s="394"/>
      <c r="C52" s="367" t="s">
        <v>1032</v>
      </c>
      <c r="D52" s="352"/>
      <c r="E52" s="399"/>
      <c r="F52" s="402">
        <f>+'B. Sheet'!Z72+'B. Sheet'!Z71+'B. Sheet'!Z80</f>
        <v>24286.88324999999</v>
      </c>
    </row>
    <row r="53" spans="2:7" ht="13.5" thickBot="1">
      <c r="B53" s="394"/>
      <c r="C53" s="367" t="s">
        <v>1033</v>
      </c>
      <c r="D53" s="352"/>
      <c r="E53" s="399"/>
      <c r="F53" s="404">
        <f>F50-F52</f>
        <v>939.0820159000141</v>
      </c>
      <c r="G53" s="403"/>
    </row>
    <row r="54" spans="2:6" ht="12.75">
      <c r="B54" s="394"/>
      <c r="D54" s="352"/>
      <c r="E54" s="399"/>
      <c r="F54" s="399"/>
    </row>
    <row r="55" spans="2:6" ht="12.75">
      <c r="B55" s="394"/>
      <c r="E55" s="395"/>
      <c r="F55" s="395"/>
    </row>
    <row r="56" spans="2:6" ht="12.75">
      <c r="B56" s="394"/>
      <c r="E56" s="395"/>
      <c r="F56" s="395"/>
    </row>
    <row r="57" spans="2:6" ht="12.75">
      <c r="B57" s="394"/>
      <c r="E57" s="395"/>
      <c r="F57" s="395"/>
    </row>
    <row r="58" spans="2:6" ht="12.75">
      <c r="B58" s="394"/>
      <c r="E58" s="395"/>
      <c r="F58" s="395"/>
    </row>
  </sheetData>
  <printOptions/>
  <pageMargins left="0.75" right="0.25" top="0.75" bottom="0.25" header="0.25" footer="0.25"/>
  <pageSetup horizontalDpi="300" verticalDpi="300" orientation="portrait" paperSize="9" r:id="rId1"/>
  <headerFooter alignWithMargins="0">
    <oddHeader>&amp;R&amp;D &amp;T</oddHeader>
    <oddFooter>&amp;R&amp;N of &amp;P</oddFooter>
  </headerFooter>
</worksheet>
</file>

<file path=xl/worksheets/sheet25.xml><?xml version="1.0" encoding="utf-8"?>
<worksheet xmlns="http://schemas.openxmlformats.org/spreadsheetml/2006/main" xmlns:r="http://schemas.openxmlformats.org/officeDocument/2006/relationships">
  <dimension ref="A1:U239"/>
  <sheetViews>
    <sheetView zoomScaleSheetLayoutView="100" workbookViewId="0" topLeftCell="A1">
      <pane xSplit="4" ySplit="5" topLeftCell="E223" activePane="bottomRight" state="frozen"/>
      <selection pane="topLeft" activeCell="A1" sqref="A1"/>
      <selection pane="topRight" activeCell="E1" sqref="E1"/>
      <selection pane="bottomLeft" activeCell="A6" sqref="A6"/>
      <selection pane="bottomRight" activeCell="T1" sqref="T1:T16384"/>
    </sheetView>
  </sheetViews>
  <sheetFormatPr defaultColWidth="9.140625" defaultRowHeight="12.75"/>
  <cols>
    <col min="1" max="1" width="6.8515625" style="680" customWidth="1"/>
    <col min="2" max="2" width="34.28125" style="680" customWidth="1"/>
    <col min="3" max="3" width="16.57421875" style="570" bestFit="1" customWidth="1"/>
    <col min="4" max="4" width="17.28125" style="570" bestFit="1" customWidth="1"/>
    <col min="5" max="5" width="12.7109375" style="570" bestFit="1" customWidth="1"/>
    <col min="6" max="6" width="13.00390625" style="570" bestFit="1" customWidth="1"/>
    <col min="7" max="7" width="13.421875" style="570" bestFit="1" customWidth="1"/>
    <col min="8" max="8" width="12.57421875" style="570" bestFit="1" customWidth="1"/>
    <col min="9" max="9" width="17.57421875" style="570" bestFit="1" customWidth="1"/>
    <col min="10" max="10" width="15.421875" style="570" bestFit="1" customWidth="1"/>
    <col min="11" max="11" width="14.7109375" style="570" bestFit="1" customWidth="1"/>
    <col min="12" max="12" width="14.8515625" style="570" bestFit="1" customWidth="1"/>
    <col min="13" max="13" width="16.57421875" style="570" bestFit="1" customWidth="1"/>
    <col min="14" max="15" width="13.7109375" style="570" bestFit="1" customWidth="1"/>
    <col min="16" max="16" width="11.57421875" style="570" bestFit="1" customWidth="1"/>
    <col min="17" max="17" width="10.28125" style="570" hidden="1" customWidth="1"/>
    <col min="18" max="18" width="8.00390625" style="570" hidden="1" customWidth="1"/>
    <col min="19" max="19" width="12.421875" style="793" customWidth="1"/>
    <col min="20" max="20" width="12.57421875" style="668" bestFit="1" customWidth="1"/>
    <col min="21" max="21" width="10.421875" style="668" bestFit="1" customWidth="1"/>
    <col min="22" max="22" width="9.00390625" style="668" bestFit="1" customWidth="1"/>
    <col min="23" max="16384" width="8.8515625" style="570" customWidth="1"/>
  </cols>
  <sheetData>
    <row r="1" ht="12.75">
      <c r="A1" s="679" t="s">
        <v>58</v>
      </c>
    </row>
    <row r="2" ht="13.5" thickBot="1">
      <c r="B2" s="681"/>
    </row>
    <row r="3" spans="1:18" ht="12.75">
      <c r="A3" s="682"/>
      <c r="B3" s="683"/>
      <c r="C3" s="684"/>
      <c r="D3" s="673"/>
      <c r="E3" s="782" t="s">
        <v>352</v>
      </c>
      <c r="F3" s="782" t="s">
        <v>353</v>
      </c>
      <c r="G3" s="782" t="s">
        <v>354</v>
      </c>
      <c r="H3" s="782" t="s">
        <v>355</v>
      </c>
      <c r="I3" s="782" t="s">
        <v>356</v>
      </c>
      <c r="J3" s="782" t="s">
        <v>357</v>
      </c>
      <c r="K3" s="782" t="s">
        <v>358</v>
      </c>
      <c r="L3" s="782" t="s">
        <v>359</v>
      </c>
      <c r="M3" s="674"/>
      <c r="N3" s="783" t="s">
        <v>360</v>
      </c>
      <c r="O3" s="782" t="s">
        <v>361</v>
      </c>
      <c r="P3" s="616" t="s">
        <v>363</v>
      </c>
      <c r="Q3" s="675" t="s">
        <v>364</v>
      </c>
      <c r="R3" s="616"/>
    </row>
    <row r="4" spans="1:18" ht="12.75">
      <c r="A4" s="676"/>
      <c r="B4" s="677"/>
      <c r="C4" s="571" t="s">
        <v>365</v>
      </c>
      <c r="D4" s="678" t="s">
        <v>366</v>
      </c>
      <c r="E4" s="571" t="s">
        <v>367</v>
      </c>
      <c r="F4" s="571" t="s">
        <v>368</v>
      </c>
      <c r="G4" s="571" t="s">
        <v>369</v>
      </c>
      <c r="H4" s="571" t="s">
        <v>370</v>
      </c>
      <c r="I4" s="571" t="s">
        <v>371</v>
      </c>
      <c r="J4" s="571" t="s">
        <v>371</v>
      </c>
      <c r="K4" s="571" t="s">
        <v>372</v>
      </c>
      <c r="L4" s="571" t="s">
        <v>373</v>
      </c>
      <c r="M4" s="678" t="s">
        <v>374</v>
      </c>
      <c r="N4" s="784" t="s">
        <v>375</v>
      </c>
      <c r="O4" s="571" t="s">
        <v>375</v>
      </c>
      <c r="P4" s="617" t="s">
        <v>375</v>
      </c>
      <c r="Q4" s="685" t="s">
        <v>376</v>
      </c>
      <c r="R4" s="617" t="s">
        <v>374</v>
      </c>
    </row>
    <row r="5" spans="1:18" ht="13.5" thickBot="1">
      <c r="A5" s="686"/>
      <c r="B5" s="687"/>
      <c r="C5" s="572"/>
      <c r="D5" s="688"/>
      <c r="E5" s="572" t="s">
        <v>370</v>
      </c>
      <c r="F5" s="572" t="s">
        <v>377</v>
      </c>
      <c r="G5" s="572"/>
      <c r="H5" s="572" t="s">
        <v>378</v>
      </c>
      <c r="I5" s="572" t="s">
        <v>379</v>
      </c>
      <c r="J5" s="572" t="s">
        <v>380</v>
      </c>
      <c r="K5" s="572" t="s">
        <v>378</v>
      </c>
      <c r="L5" s="572" t="s">
        <v>378</v>
      </c>
      <c r="M5" s="688"/>
      <c r="N5" s="785" t="s">
        <v>381</v>
      </c>
      <c r="O5" s="572" t="s">
        <v>382</v>
      </c>
      <c r="P5" s="618" t="s">
        <v>369</v>
      </c>
      <c r="Q5" s="689" t="s">
        <v>383</v>
      </c>
      <c r="R5" s="618"/>
    </row>
    <row r="6" spans="1:19" ht="12.75">
      <c r="A6" s="690" t="s">
        <v>384</v>
      </c>
      <c r="B6" s="691" t="s">
        <v>385</v>
      </c>
      <c r="C6" s="554">
        <f>+working!D41*1000</f>
        <v>24110010.000000004</v>
      </c>
      <c r="D6" s="554"/>
      <c r="E6" s="554">
        <f>C6</f>
        <v>24110010.000000004</v>
      </c>
      <c r="F6" s="554"/>
      <c r="G6" s="554"/>
      <c r="H6" s="554"/>
      <c r="I6" s="554"/>
      <c r="J6" s="554"/>
      <c r="K6" s="554"/>
      <c r="L6" s="554"/>
      <c r="M6" s="692"/>
      <c r="N6" s="786"/>
      <c r="O6" s="554"/>
      <c r="P6" s="619"/>
      <c r="Q6" s="693"/>
      <c r="R6" s="619"/>
      <c r="S6" s="793" t="s">
        <v>1187</v>
      </c>
    </row>
    <row r="7" spans="1:21" ht="12.75">
      <c r="A7" s="555"/>
      <c r="B7" s="672" t="s">
        <v>1001</v>
      </c>
      <c r="C7" s="554">
        <f>+goodwill!G20*1000</f>
        <v>896040</v>
      </c>
      <c r="D7" s="554"/>
      <c r="E7" s="554"/>
      <c r="F7" s="554"/>
      <c r="G7" s="554"/>
      <c r="H7" s="554"/>
      <c r="I7" s="554"/>
      <c r="J7" s="554"/>
      <c r="K7" s="554"/>
      <c r="L7" s="554"/>
      <c r="M7" s="692"/>
      <c r="N7" s="786">
        <f>C7</f>
        <v>896040</v>
      </c>
      <c r="O7" s="554"/>
      <c r="P7" s="619"/>
      <c r="Q7" s="693"/>
      <c r="R7" s="619"/>
      <c r="U7" s="669"/>
    </row>
    <row r="8" spans="1:21" ht="12.75">
      <c r="A8" s="555"/>
      <c r="B8" s="672" t="s">
        <v>387</v>
      </c>
      <c r="C8" s="554">
        <f>289353+93148+3233</f>
        <v>385734</v>
      </c>
      <c r="D8" s="554">
        <f>SUM(C6:C8)+D9</f>
        <v>0</v>
      </c>
      <c r="E8" s="554"/>
      <c r="F8" s="554">
        <f>C8</f>
        <v>385734</v>
      </c>
      <c r="G8" s="554"/>
      <c r="H8" s="554"/>
      <c r="I8" s="554"/>
      <c r="J8" s="554"/>
      <c r="K8" s="554"/>
      <c r="L8" s="554"/>
      <c r="M8" s="692"/>
      <c r="N8" s="786"/>
      <c r="O8" s="554"/>
      <c r="P8" s="619"/>
      <c r="Q8" s="693"/>
      <c r="R8" s="619"/>
      <c r="U8" s="669"/>
    </row>
    <row r="9" spans="1:21" ht="12.75">
      <c r="A9" s="555"/>
      <c r="B9" s="672" t="s">
        <v>388</v>
      </c>
      <c r="C9" s="554"/>
      <c r="D9" s="554">
        <f>-SUM(C6:C8)</f>
        <v>-25391784.000000004</v>
      </c>
      <c r="E9" s="554"/>
      <c r="F9" s="554"/>
      <c r="G9" s="554"/>
      <c r="H9" s="554"/>
      <c r="I9" s="554">
        <f>D9</f>
        <v>-25391784.000000004</v>
      </c>
      <c r="J9" s="554"/>
      <c r="K9" s="554"/>
      <c r="L9" s="554"/>
      <c r="M9" s="692"/>
      <c r="N9" s="786"/>
      <c r="O9" s="554"/>
      <c r="P9" s="619"/>
      <c r="Q9" s="693"/>
      <c r="R9" s="619"/>
      <c r="U9" s="669"/>
    </row>
    <row r="10" spans="1:21" ht="12.75">
      <c r="A10" s="555"/>
      <c r="B10" s="672"/>
      <c r="C10" s="554"/>
      <c r="D10" s="554"/>
      <c r="E10" s="554"/>
      <c r="F10" s="554"/>
      <c r="G10" s="554"/>
      <c r="H10" s="554"/>
      <c r="I10" s="554"/>
      <c r="J10" s="554"/>
      <c r="K10" s="554"/>
      <c r="L10" s="554"/>
      <c r="M10" s="692"/>
      <c r="N10" s="786"/>
      <c r="O10" s="554"/>
      <c r="P10" s="619"/>
      <c r="Q10" s="693"/>
      <c r="R10" s="619"/>
      <c r="U10" s="669"/>
    </row>
    <row r="11" spans="1:21" ht="12.75">
      <c r="A11" s="555"/>
      <c r="B11" s="694" t="s">
        <v>1248</v>
      </c>
      <c r="C11" s="695"/>
      <c r="D11" s="696"/>
      <c r="E11" s="695"/>
      <c r="F11" s="697"/>
      <c r="G11" s="554"/>
      <c r="H11" s="554"/>
      <c r="I11" s="554"/>
      <c r="J11" s="554"/>
      <c r="K11" s="554"/>
      <c r="L11" s="554"/>
      <c r="M11" s="692"/>
      <c r="N11" s="786"/>
      <c r="O11" s="554"/>
      <c r="P11" s="619"/>
      <c r="Q11" s="693"/>
      <c r="R11" s="619"/>
      <c r="U11" s="669"/>
    </row>
    <row r="12" spans="1:21" ht="12.75">
      <c r="A12" s="555"/>
      <c r="B12" s="672"/>
      <c r="C12" s="554"/>
      <c r="D12" s="554"/>
      <c r="E12" s="554"/>
      <c r="F12" s="554"/>
      <c r="G12" s="554"/>
      <c r="H12" s="554"/>
      <c r="I12" s="554"/>
      <c r="J12" s="554"/>
      <c r="K12" s="554"/>
      <c r="L12" s="554"/>
      <c r="M12" s="692"/>
      <c r="N12" s="786"/>
      <c r="O12" s="554"/>
      <c r="P12" s="619"/>
      <c r="Q12" s="693"/>
      <c r="R12" s="619"/>
      <c r="U12" s="669"/>
    </row>
    <row r="13" spans="1:21" ht="12.75">
      <c r="A13" s="555" t="s">
        <v>389</v>
      </c>
      <c r="B13" s="672" t="s">
        <v>390</v>
      </c>
      <c r="C13" s="698">
        <f>3265000</f>
        <v>3265000</v>
      </c>
      <c r="D13" s="554"/>
      <c r="E13" s="554"/>
      <c r="F13" s="554"/>
      <c r="G13" s="554"/>
      <c r="H13" s="554"/>
      <c r="I13" s="554"/>
      <c r="J13" s="554"/>
      <c r="K13" s="554"/>
      <c r="L13" s="554">
        <f>+C13</f>
        <v>3265000</v>
      </c>
      <c r="M13" s="692"/>
      <c r="N13" s="786"/>
      <c r="O13" s="554"/>
      <c r="P13" s="619"/>
      <c r="Q13" s="693"/>
      <c r="R13" s="619"/>
      <c r="S13" s="793" t="s">
        <v>1187</v>
      </c>
      <c r="U13" s="669"/>
    </row>
    <row r="14" spans="1:21" ht="12.75">
      <c r="A14" s="555"/>
      <c r="B14" s="672" t="s">
        <v>1003</v>
      </c>
      <c r="C14" s="554"/>
      <c r="D14" s="554">
        <f>-C13</f>
        <v>-3265000</v>
      </c>
      <c r="E14" s="554"/>
      <c r="F14" s="554"/>
      <c r="G14" s="554"/>
      <c r="H14" s="554"/>
      <c r="I14" s="554">
        <f>D14</f>
        <v>-3265000</v>
      </c>
      <c r="J14" s="554"/>
      <c r="K14" s="554"/>
      <c r="L14" s="554"/>
      <c r="M14" s="692"/>
      <c r="N14" s="786"/>
      <c r="O14" s="554"/>
      <c r="P14" s="619"/>
      <c r="Q14" s="693"/>
      <c r="R14" s="619"/>
      <c r="U14" s="669"/>
    </row>
    <row r="15" spans="1:21" ht="12.75">
      <c r="A15" s="555"/>
      <c r="B15" s="672"/>
      <c r="C15" s="554"/>
      <c r="D15" s="554"/>
      <c r="E15" s="554"/>
      <c r="F15" s="554"/>
      <c r="G15" s="554"/>
      <c r="H15" s="554"/>
      <c r="I15" s="554"/>
      <c r="J15" s="554"/>
      <c r="K15" s="554"/>
      <c r="L15" s="554"/>
      <c r="M15" s="692"/>
      <c r="N15" s="786"/>
      <c r="O15" s="554"/>
      <c r="P15" s="619"/>
      <c r="Q15" s="693"/>
      <c r="R15" s="619"/>
      <c r="U15" s="669"/>
    </row>
    <row r="16" spans="1:21" ht="12.75">
      <c r="A16" s="555"/>
      <c r="B16" s="694" t="s">
        <v>391</v>
      </c>
      <c r="C16" s="695"/>
      <c r="D16" s="554"/>
      <c r="E16" s="554"/>
      <c r="F16" s="554"/>
      <c r="G16" s="554"/>
      <c r="H16" s="554"/>
      <c r="I16" s="554"/>
      <c r="J16" s="554"/>
      <c r="K16" s="554"/>
      <c r="L16" s="554"/>
      <c r="M16" s="692"/>
      <c r="N16" s="786"/>
      <c r="O16" s="554"/>
      <c r="P16" s="619"/>
      <c r="Q16" s="693"/>
      <c r="R16" s="619"/>
      <c r="U16" s="669"/>
    </row>
    <row r="17" spans="1:21" ht="12.75">
      <c r="A17" s="555"/>
      <c r="B17" s="672"/>
      <c r="C17" s="554"/>
      <c r="D17" s="554"/>
      <c r="E17" s="554"/>
      <c r="F17" s="554"/>
      <c r="G17" s="554"/>
      <c r="H17" s="554"/>
      <c r="I17" s="554"/>
      <c r="J17" s="554"/>
      <c r="K17" s="554"/>
      <c r="L17" s="554"/>
      <c r="M17" s="692"/>
      <c r="N17" s="786"/>
      <c r="O17" s="554"/>
      <c r="P17" s="619"/>
      <c r="Q17" s="693"/>
      <c r="R17" s="619"/>
      <c r="U17" s="669"/>
    </row>
    <row r="18" spans="1:21" ht="13.5" customHeight="1">
      <c r="A18" s="555" t="s">
        <v>392</v>
      </c>
      <c r="B18" s="672" t="s">
        <v>393</v>
      </c>
      <c r="C18" s="554">
        <f>+working!D44*1000</f>
        <v>1240000</v>
      </c>
      <c r="D18" s="554"/>
      <c r="E18" s="554">
        <f>C18</f>
        <v>1240000</v>
      </c>
      <c r="F18" s="554"/>
      <c r="G18" s="554"/>
      <c r="H18" s="554"/>
      <c r="I18" s="554"/>
      <c r="J18" s="554"/>
      <c r="K18" s="554"/>
      <c r="L18" s="554"/>
      <c r="M18" s="692"/>
      <c r="N18" s="786"/>
      <c r="O18" s="554"/>
      <c r="P18" s="619"/>
      <c r="Q18" s="693"/>
      <c r="R18" s="619"/>
      <c r="S18" s="793" t="s">
        <v>1187</v>
      </c>
      <c r="U18" s="669"/>
    </row>
    <row r="19" spans="1:21" ht="12.75">
      <c r="A19" s="555"/>
      <c r="B19" s="672" t="s">
        <v>394</v>
      </c>
      <c r="C19" s="554">
        <f>+working!D45*1000+working!D49*1000</f>
        <v>53544990.99999999</v>
      </c>
      <c r="D19" s="554"/>
      <c r="E19" s="554"/>
      <c r="F19" s="554"/>
      <c r="G19" s="554"/>
      <c r="H19" s="554"/>
      <c r="I19" s="554"/>
      <c r="J19" s="554"/>
      <c r="K19" s="554"/>
      <c r="L19" s="554"/>
      <c r="M19" s="692"/>
      <c r="N19" s="786">
        <f>C19</f>
        <v>53544990.99999999</v>
      </c>
      <c r="O19" s="554"/>
      <c r="P19" s="619"/>
      <c r="Q19" s="693"/>
      <c r="R19" s="619"/>
      <c r="S19" s="793" t="s">
        <v>1187</v>
      </c>
      <c r="U19" s="669"/>
    </row>
    <row r="20" spans="1:21" ht="12.75">
      <c r="A20" s="555"/>
      <c r="B20" s="672" t="s">
        <v>395</v>
      </c>
      <c r="C20" s="554">
        <f>+working!D46*1000+working!D51*1000</f>
        <v>8337719</v>
      </c>
      <c r="D20" s="554"/>
      <c r="E20" s="554"/>
      <c r="F20" s="554"/>
      <c r="G20" s="554"/>
      <c r="H20" s="554"/>
      <c r="I20" s="554"/>
      <c r="J20" s="554"/>
      <c r="K20" s="554"/>
      <c r="L20" s="554"/>
      <c r="M20" s="692"/>
      <c r="N20" s="786"/>
      <c r="O20" s="554"/>
      <c r="P20" s="619">
        <f>C20</f>
        <v>8337719</v>
      </c>
      <c r="Q20" s="693"/>
      <c r="R20" s="619"/>
      <c r="S20" s="794" t="s">
        <v>925</v>
      </c>
      <c r="U20" s="669"/>
    </row>
    <row r="21" spans="1:21" ht="12.75">
      <c r="A21" s="555"/>
      <c r="B21" s="672" t="s">
        <v>1218</v>
      </c>
      <c r="C21" s="554">
        <f>+working!D50*1000</f>
        <v>85600</v>
      </c>
      <c r="D21" s="554"/>
      <c r="E21" s="554"/>
      <c r="F21" s="554"/>
      <c r="G21" s="554"/>
      <c r="H21" s="554">
        <f>+C21</f>
        <v>85600</v>
      </c>
      <c r="I21" s="554"/>
      <c r="J21" s="554"/>
      <c r="K21" s="554"/>
      <c r="L21" s="554"/>
      <c r="M21" s="692"/>
      <c r="N21" s="786"/>
      <c r="O21" s="554"/>
      <c r="P21" s="619"/>
      <c r="Q21" s="693"/>
      <c r="R21" s="619"/>
      <c r="S21" s="793" t="s">
        <v>1187</v>
      </c>
      <c r="U21" s="669"/>
    </row>
    <row r="22" spans="1:21" ht="12.75">
      <c r="A22" s="555"/>
      <c r="B22" s="672" t="s">
        <v>396</v>
      </c>
      <c r="C22" s="554">
        <f>+working!D47*1000</f>
        <v>642984</v>
      </c>
      <c r="D22" s="554"/>
      <c r="E22" s="554"/>
      <c r="F22" s="554"/>
      <c r="G22" s="554"/>
      <c r="H22" s="554"/>
      <c r="I22" s="554"/>
      <c r="J22" s="554"/>
      <c r="K22" s="554"/>
      <c r="L22" s="554">
        <f>C22</f>
        <v>642984</v>
      </c>
      <c r="M22" s="692"/>
      <c r="N22" s="786"/>
      <c r="O22" s="554"/>
      <c r="P22" s="619"/>
      <c r="Q22" s="693"/>
      <c r="R22" s="619"/>
      <c r="S22" s="793" t="s">
        <v>1187</v>
      </c>
      <c r="U22" s="669"/>
    </row>
    <row r="23" spans="1:21" ht="12.75">
      <c r="A23" s="555"/>
      <c r="B23" s="672" t="s">
        <v>1387</v>
      </c>
      <c r="C23" s="554">
        <f>+working!D48*1000</f>
        <v>386053</v>
      </c>
      <c r="D23" s="554"/>
      <c r="E23" s="554"/>
      <c r="F23" s="554"/>
      <c r="G23" s="554"/>
      <c r="H23" s="554"/>
      <c r="I23" s="554"/>
      <c r="J23" s="554"/>
      <c r="K23" s="795">
        <f>C23</f>
        <v>386053</v>
      </c>
      <c r="L23" s="554"/>
      <c r="M23" s="692"/>
      <c r="N23" s="786"/>
      <c r="O23" s="554"/>
      <c r="P23" s="619"/>
      <c r="Q23" s="693"/>
      <c r="R23" s="619"/>
      <c r="S23" s="793" t="s">
        <v>1187</v>
      </c>
      <c r="U23" s="669"/>
    </row>
    <row r="24" spans="1:21" ht="12.75">
      <c r="A24" s="555"/>
      <c r="B24" s="672" t="s">
        <v>42</v>
      </c>
      <c r="C24" s="554"/>
      <c r="D24" s="554">
        <f>+working!D54*1000+working!D56*1000</f>
        <v>-2095830</v>
      </c>
      <c r="E24" s="554"/>
      <c r="F24" s="554"/>
      <c r="G24" s="554"/>
      <c r="H24" s="554"/>
      <c r="I24" s="554"/>
      <c r="J24" s="554"/>
      <c r="K24" s="554"/>
      <c r="L24" s="554"/>
      <c r="M24" s="692"/>
      <c r="N24" s="786">
        <f>+D24</f>
        <v>-2095830</v>
      </c>
      <c r="O24" s="554"/>
      <c r="P24" s="619"/>
      <c r="Q24" s="693"/>
      <c r="R24" s="619"/>
      <c r="S24" s="793" t="s">
        <v>1187</v>
      </c>
      <c r="U24" s="669"/>
    </row>
    <row r="25" spans="1:21" ht="12.75">
      <c r="A25" s="555"/>
      <c r="B25" s="672" t="s">
        <v>54</v>
      </c>
      <c r="C25" s="554"/>
      <c r="D25" s="554">
        <f>+working!D53*1000</f>
        <v>0</v>
      </c>
      <c r="E25" s="554"/>
      <c r="F25" s="554"/>
      <c r="G25" s="554"/>
      <c r="H25" s="554"/>
      <c r="I25" s="554"/>
      <c r="J25" s="554"/>
      <c r="K25" s="554"/>
      <c r="L25" s="554"/>
      <c r="M25" s="692"/>
      <c r="N25" s="786"/>
      <c r="O25" s="554"/>
      <c r="P25" s="619">
        <f>+D25</f>
        <v>0</v>
      </c>
      <c r="Q25" s="693"/>
      <c r="R25" s="619"/>
      <c r="S25" s="794"/>
      <c r="U25" s="669"/>
    </row>
    <row r="26" spans="1:21" ht="12.75">
      <c r="A26" s="555"/>
      <c r="B26" s="672" t="s">
        <v>302</v>
      </c>
      <c r="C26" s="554"/>
      <c r="D26" s="554">
        <f>+working!D55*1000</f>
        <v>-364549</v>
      </c>
      <c r="E26" s="554"/>
      <c r="F26" s="554"/>
      <c r="G26" s="554"/>
      <c r="H26" s="554"/>
      <c r="I26" s="554"/>
      <c r="J26" s="554"/>
      <c r="K26" s="554"/>
      <c r="L26" s="554"/>
      <c r="M26" s="692"/>
      <c r="N26" s="786"/>
      <c r="O26" s="554"/>
      <c r="P26" s="619">
        <f>D26</f>
        <v>-364549</v>
      </c>
      <c r="Q26" s="693"/>
      <c r="R26" s="619"/>
      <c r="S26" s="794"/>
      <c r="U26" s="669"/>
    </row>
    <row r="27" spans="1:21" ht="12.75">
      <c r="A27" s="555"/>
      <c r="B27" s="672" t="s">
        <v>369</v>
      </c>
      <c r="C27" s="554"/>
      <c r="D27" s="554">
        <f>-SUM(C18:C23)-D24-D25-D26</f>
        <v>-61776967.99999999</v>
      </c>
      <c r="E27" s="554"/>
      <c r="F27" s="554"/>
      <c r="G27" s="554">
        <f>D27</f>
        <v>-61776967.99999999</v>
      </c>
      <c r="H27" s="554"/>
      <c r="I27" s="554"/>
      <c r="J27" s="554"/>
      <c r="K27" s="554"/>
      <c r="L27" s="554"/>
      <c r="M27" s="692"/>
      <c r="N27" s="786"/>
      <c r="O27" s="554"/>
      <c r="P27" s="619"/>
      <c r="Q27" s="693"/>
      <c r="R27" s="619"/>
      <c r="S27" s="794"/>
      <c r="U27" s="669"/>
    </row>
    <row r="28" spans="1:21" ht="12.75">
      <c r="A28" s="555"/>
      <c r="B28" s="672"/>
      <c r="C28" s="554"/>
      <c r="D28" s="554"/>
      <c r="E28" s="554"/>
      <c r="F28" s="554"/>
      <c r="G28" s="554"/>
      <c r="H28" s="554"/>
      <c r="I28" s="554"/>
      <c r="J28" s="554"/>
      <c r="K28" s="554"/>
      <c r="L28" s="554"/>
      <c r="M28" s="692"/>
      <c r="N28" s="786"/>
      <c r="O28" s="554"/>
      <c r="P28" s="619"/>
      <c r="Q28" s="693"/>
      <c r="R28" s="619"/>
      <c r="U28" s="669"/>
    </row>
    <row r="29" spans="1:21" ht="12.75">
      <c r="A29" s="555"/>
      <c r="B29" s="694" t="s">
        <v>397</v>
      </c>
      <c r="C29" s="695"/>
      <c r="D29" s="697"/>
      <c r="E29" s="554"/>
      <c r="F29" s="554"/>
      <c r="G29" s="554"/>
      <c r="H29" s="554"/>
      <c r="I29" s="554"/>
      <c r="J29" s="554"/>
      <c r="K29" s="554"/>
      <c r="L29" s="554"/>
      <c r="M29" s="692"/>
      <c r="N29" s="786"/>
      <c r="O29" s="554"/>
      <c r="P29" s="619"/>
      <c r="Q29" s="693"/>
      <c r="R29" s="619"/>
      <c r="U29" s="669"/>
    </row>
    <row r="30" spans="1:21" ht="12.75">
      <c r="A30" s="555"/>
      <c r="B30" s="672"/>
      <c r="C30" s="554"/>
      <c r="D30" s="554"/>
      <c r="E30" s="554"/>
      <c r="F30" s="554"/>
      <c r="G30" s="554"/>
      <c r="H30" s="554"/>
      <c r="I30" s="554"/>
      <c r="J30" s="554"/>
      <c r="K30" s="554"/>
      <c r="L30" s="554"/>
      <c r="M30" s="692"/>
      <c r="N30" s="786"/>
      <c r="O30" s="554"/>
      <c r="P30" s="619"/>
      <c r="Q30" s="693"/>
      <c r="R30" s="619"/>
      <c r="U30" s="669"/>
    </row>
    <row r="31" spans="1:21" ht="12.75">
      <c r="A31" s="555" t="s">
        <v>398</v>
      </c>
      <c r="B31" s="672" t="s">
        <v>399</v>
      </c>
      <c r="C31" s="554">
        <f>264491+14479+10383+93148+3233</f>
        <v>385734</v>
      </c>
      <c r="D31" s="554"/>
      <c r="E31" s="554"/>
      <c r="F31" s="554"/>
      <c r="G31" s="554"/>
      <c r="H31" s="554"/>
      <c r="I31" s="554"/>
      <c r="J31" s="554"/>
      <c r="K31" s="554"/>
      <c r="L31" s="554"/>
      <c r="M31" s="692"/>
      <c r="N31" s="786">
        <f>C31</f>
        <v>385734</v>
      </c>
      <c r="O31" s="554"/>
      <c r="P31" s="619"/>
      <c r="Q31" s="693"/>
      <c r="R31" s="619"/>
      <c r="S31" s="793" t="s">
        <v>1187</v>
      </c>
      <c r="U31" s="669"/>
    </row>
    <row r="32" spans="1:21" ht="12.75">
      <c r="A32" s="555"/>
      <c r="B32" s="672" t="s">
        <v>400</v>
      </c>
      <c r="C32" s="554">
        <v>0</v>
      </c>
      <c r="D32" s="554"/>
      <c r="E32" s="554"/>
      <c r="F32" s="554"/>
      <c r="G32" s="554"/>
      <c r="H32" s="554"/>
      <c r="I32" s="554"/>
      <c r="J32" s="554"/>
      <c r="K32" s="554"/>
      <c r="L32" s="554"/>
      <c r="M32" s="692"/>
      <c r="N32" s="786"/>
      <c r="O32" s="554">
        <f>C32</f>
        <v>0</v>
      </c>
      <c r="P32" s="619"/>
      <c r="Q32" s="693"/>
      <c r="R32" s="619"/>
      <c r="U32" s="669"/>
    </row>
    <row r="33" spans="1:21" ht="12.75">
      <c r="A33" s="555"/>
      <c r="B33" s="672" t="s">
        <v>401</v>
      </c>
      <c r="C33" s="554"/>
      <c r="D33" s="554">
        <f>-SUM(C31:C32)</f>
        <v>-385734</v>
      </c>
      <c r="E33" s="554"/>
      <c r="F33" s="554">
        <f>D33</f>
        <v>-385734</v>
      </c>
      <c r="G33" s="554"/>
      <c r="H33" s="554"/>
      <c r="I33" s="554"/>
      <c r="J33" s="554"/>
      <c r="K33" s="554"/>
      <c r="L33" s="554"/>
      <c r="M33" s="692"/>
      <c r="N33" s="786"/>
      <c r="O33" s="554"/>
      <c r="P33" s="619"/>
      <c r="Q33" s="693"/>
      <c r="R33" s="619"/>
      <c r="U33" s="669"/>
    </row>
    <row r="34" spans="1:21" ht="12.75">
      <c r="A34" s="555"/>
      <c r="B34" s="672"/>
      <c r="C34" s="554"/>
      <c r="D34" s="554"/>
      <c r="E34" s="554"/>
      <c r="F34" s="554"/>
      <c r="G34" s="554"/>
      <c r="H34" s="554"/>
      <c r="I34" s="554"/>
      <c r="J34" s="554"/>
      <c r="K34" s="554"/>
      <c r="L34" s="554"/>
      <c r="M34" s="692"/>
      <c r="N34" s="786"/>
      <c r="O34" s="554"/>
      <c r="P34" s="619"/>
      <c r="Q34" s="693"/>
      <c r="R34" s="619"/>
      <c r="U34" s="669"/>
    </row>
    <row r="35" spans="1:21" ht="12.75">
      <c r="A35" s="555"/>
      <c r="B35" s="672" t="s">
        <v>402</v>
      </c>
      <c r="C35" s="554"/>
      <c r="D35" s="554"/>
      <c r="E35" s="554"/>
      <c r="F35" s="554"/>
      <c r="G35" s="554"/>
      <c r="H35" s="554"/>
      <c r="I35" s="554"/>
      <c r="J35" s="554"/>
      <c r="K35" s="554"/>
      <c r="L35" s="554"/>
      <c r="M35" s="692"/>
      <c r="N35" s="786"/>
      <c r="O35" s="554"/>
      <c r="P35" s="619"/>
      <c r="Q35" s="693"/>
      <c r="R35" s="619"/>
      <c r="U35" s="669"/>
    </row>
    <row r="36" spans="1:21" ht="12.75">
      <c r="A36" s="555"/>
      <c r="B36" s="672"/>
      <c r="C36" s="554"/>
      <c r="D36" s="554"/>
      <c r="E36" s="554"/>
      <c r="F36" s="554"/>
      <c r="G36" s="554"/>
      <c r="H36" s="554"/>
      <c r="I36" s="554"/>
      <c r="J36" s="554"/>
      <c r="K36" s="554"/>
      <c r="L36" s="554"/>
      <c r="M36" s="692"/>
      <c r="N36" s="786"/>
      <c r="O36" s="554"/>
      <c r="P36" s="619"/>
      <c r="Q36" s="693"/>
      <c r="R36" s="619"/>
      <c r="U36" s="669"/>
    </row>
    <row r="37" spans="1:21" ht="12.75">
      <c r="A37" s="555" t="s">
        <v>403</v>
      </c>
      <c r="B37" s="672" t="s">
        <v>404</v>
      </c>
      <c r="C37" s="554">
        <f>-SUM(D39:D44)-C38</f>
        <v>9369151</v>
      </c>
      <c r="D37" s="554"/>
      <c r="E37" s="554"/>
      <c r="F37" s="554"/>
      <c r="G37" s="554"/>
      <c r="H37" s="554"/>
      <c r="I37" s="554"/>
      <c r="J37" s="554">
        <f>C37</f>
        <v>9369151</v>
      </c>
      <c r="K37" s="554"/>
      <c r="L37" s="554"/>
      <c r="M37" s="692"/>
      <c r="N37" s="786"/>
      <c r="O37" s="554"/>
      <c r="P37" s="619"/>
      <c r="Q37" s="693"/>
      <c r="R37" s="619"/>
      <c r="S37" s="794" t="s">
        <v>927</v>
      </c>
      <c r="U37" s="669"/>
    </row>
    <row r="38" spans="1:21" ht="12.75">
      <c r="A38" s="555"/>
      <c r="B38" s="672" t="s">
        <v>44</v>
      </c>
      <c r="C38" s="554">
        <f>-FJK!H67</f>
        <v>911373</v>
      </c>
      <c r="D38" s="554"/>
      <c r="E38" s="554"/>
      <c r="F38" s="554"/>
      <c r="G38" s="554"/>
      <c r="H38" s="554"/>
      <c r="I38" s="554"/>
      <c r="J38" s="554"/>
      <c r="K38" s="554"/>
      <c r="L38" s="554"/>
      <c r="M38" s="692"/>
      <c r="N38" s="786"/>
      <c r="O38" s="554">
        <f>C38</f>
        <v>911373</v>
      </c>
      <c r="P38" s="619"/>
      <c r="Q38" s="693"/>
      <c r="R38" s="619"/>
      <c r="S38" s="794"/>
      <c r="U38" s="669"/>
    </row>
    <row r="39" spans="1:21" ht="12.75">
      <c r="A39" s="555"/>
      <c r="B39" s="672" t="s">
        <v>405</v>
      </c>
      <c r="C39" s="554"/>
      <c r="D39" s="554">
        <f>-FJK!D38</f>
        <v>-1534579</v>
      </c>
      <c r="E39" s="554"/>
      <c r="F39" s="554"/>
      <c r="G39" s="554"/>
      <c r="H39" s="554"/>
      <c r="I39" s="554"/>
      <c r="J39" s="554"/>
      <c r="K39" s="554"/>
      <c r="L39" s="554"/>
      <c r="M39" s="692"/>
      <c r="N39" s="786"/>
      <c r="O39" s="554">
        <f>D39</f>
        <v>-1534579</v>
      </c>
      <c r="P39" s="619"/>
      <c r="Q39" s="693"/>
      <c r="R39" s="619"/>
      <c r="S39" s="794" t="s">
        <v>927</v>
      </c>
      <c r="U39" s="669"/>
    </row>
    <row r="40" spans="1:21" ht="12.75">
      <c r="A40" s="555"/>
      <c r="B40" s="672" t="s">
        <v>1386</v>
      </c>
      <c r="C40" s="554"/>
      <c r="D40" s="795">
        <f>-FJK!H73</f>
        <v>-965133</v>
      </c>
      <c r="E40" s="554"/>
      <c r="F40" s="554"/>
      <c r="G40" s="554"/>
      <c r="H40" s="554"/>
      <c r="I40" s="554"/>
      <c r="J40" s="554"/>
      <c r="K40" s="795">
        <f>D40</f>
        <v>-965133</v>
      </c>
      <c r="L40" s="554"/>
      <c r="M40" s="692"/>
      <c r="N40" s="786"/>
      <c r="O40" s="554"/>
      <c r="P40" s="619"/>
      <c r="Q40" s="693"/>
      <c r="R40" s="619"/>
      <c r="S40" s="794" t="s">
        <v>926</v>
      </c>
      <c r="U40" s="669"/>
    </row>
    <row r="41" spans="1:21" ht="12.75">
      <c r="A41" s="555"/>
      <c r="B41" s="672" t="s">
        <v>406</v>
      </c>
      <c r="C41" s="554"/>
      <c r="D41" s="795">
        <f>-FJK!H61-FJK!H66</f>
        <v>-6811935</v>
      </c>
      <c r="E41" s="554"/>
      <c r="F41" s="554"/>
      <c r="G41" s="554"/>
      <c r="H41" s="554"/>
      <c r="I41" s="554"/>
      <c r="J41" s="554"/>
      <c r="K41" s="554"/>
      <c r="L41" s="554"/>
      <c r="M41" s="692"/>
      <c r="N41" s="786">
        <f>D41</f>
        <v>-6811935</v>
      </c>
      <c r="O41" s="554"/>
      <c r="P41" s="619"/>
      <c r="Q41" s="693"/>
      <c r="R41" s="619"/>
      <c r="S41" s="794" t="s">
        <v>926</v>
      </c>
      <c r="U41" s="669"/>
    </row>
    <row r="42" spans="1:21" ht="12.75">
      <c r="A42" s="555"/>
      <c r="B42" s="672" t="s">
        <v>1219</v>
      </c>
      <c r="C42" s="554"/>
      <c r="D42" s="795">
        <f>-FJK!H62</f>
        <v>-214001</v>
      </c>
      <c r="E42" s="554"/>
      <c r="F42" s="554"/>
      <c r="G42" s="554"/>
      <c r="H42" s="554">
        <f>+D42</f>
        <v>-214001</v>
      </c>
      <c r="I42" s="554"/>
      <c r="J42" s="554"/>
      <c r="K42" s="554"/>
      <c r="L42" s="554"/>
      <c r="M42" s="692"/>
      <c r="N42" s="786"/>
      <c r="O42" s="554"/>
      <c r="P42" s="619"/>
      <c r="Q42" s="693"/>
      <c r="R42" s="619"/>
      <c r="S42" s="794" t="s">
        <v>926</v>
      </c>
      <c r="U42" s="669"/>
    </row>
    <row r="43" spans="1:21" ht="12.75" hidden="1">
      <c r="A43" s="555"/>
      <c r="B43" s="672" t="s">
        <v>1219</v>
      </c>
      <c r="C43" s="554"/>
      <c r="D43" s="795">
        <f>-FJK!H63</f>
        <v>0</v>
      </c>
      <c r="E43" s="554"/>
      <c r="F43" s="554"/>
      <c r="G43" s="554"/>
      <c r="H43" s="554">
        <v>0</v>
      </c>
      <c r="I43" s="554"/>
      <c r="J43" s="554"/>
      <c r="K43" s="554"/>
      <c r="L43" s="554"/>
      <c r="M43" s="692">
        <f>D43</f>
        <v>0</v>
      </c>
      <c r="N43" s="786"/>
      <c r="O43" s="554"/>
      <c r="P43" s="619"/>
      <c r="Q43" s="693"/>
      <c r="R43" s="619"/>
      <c r="S43" s="794" t="s">
        <v>926</v>
      </c>
      <c r="U43" s="669"/>
    </row>
    <row r="44" spans="1:21" ht="12.75">
      <c r="A44" s="555"/>
      <c r="B44" s="672" t="s">
        <v>371</v>
      </c>
      <c r="C44" s="554"/>
      <c r="D44" s="795">
        <f>-FJK!H60</f>
        <v>-754876</v>
      </c>
      <c r="E44" s="554"/>
      <c r="F44" s="554"/>
      <c r="G44" s="554"/>
      <c r="H44" s="554"/>
      <c r="I44" s="554"/>
      <c r="J44" s="554">
        <f>D44</f>
        <v>-754876</v>
      </c>
      <c r="K44" s="554"/>
      <c r="L44" s="554"/>
      <c r="M44" s="692"/>
      <c r="N44" s="786"/>
      <c r="O44" s="554"/>
      <c r="P44" s="619"/>
      <c r="Q44" s="693"/>
      <c r="R44" s="619"/>
      <c r="S44" s="794" t="s">
        <v>926</v>
      </c>
      <c r="U44" s="669"/>
    </row>
    <row r="45" spans="1:21" ht="13.5" thickBot="1">
      <c r="A45" s="555"/>
      <c r="B45" s="672"/>
      <c r="C45" s="699">
        <f>SUM(C37:C44)</f>
        <v>10280524</v>
      </c>
      <c r="D45" s="699">
        <f>SUM(D39:D44)</f>
        <v>-10280524</v>
      </c>
      <c r="E45" s="554"/>
      <c r="F45" s="554"/>
      <c r="G45" s="554"/>
      <c r="H45" s="554"/>
      <c r="I45" s="554"/>
      <c r="J45" s="554"/>
      <c r="K45" s="554"/>
      <c r="L45" s="554"/>
      <c r="M45" s="692"/>
      <c r="N45" s="786"/>
      <c r="O45" s="554"/>
      <c r="P45" s="619"/>
      <c r="Q45" s="693"/>
      <c r="R45" s="619"/>
      <c r="S45" s="794"/>
      <c r="U45" s="669"/>
    </row>
    <row r="46" spans="1:21" ht="13.5" thickTop="1">
      <c r="A46" s="555"/>
      <c r="B46" s="556"/>
      <c r="C46" s="700"/>
      <c r="D46" s="554"/>
      <c r="E46" s="693"/>
      <c r="F46" s="554"/>
      <c r="G46" s="554"/>
      <c r="H46" s="554"/>
      <c r="I46" s="554"/>
      <c r="J46" s="554"/>
      <c r="K46" s="554"/>
      <c r="L46" s="554"/>
      <c r="M46" s="692"/>
      <c r="N46" s="786"/>
      <c r="O46" s="554"/>
      <c r="P46" s="619"/>
      <c r="Q46" s="693"/>
      <c r="R46" s="619"/>
      <c r="U46" s="669"/>
    </row>
    <row r="47" spans="1:21" ht="12.75">
      <c r="A47" s="555"/>
      <c r="B47" s="694" t="s">
        <v>36</v>
      </c>
      <c r="C47" s="696"/>
      <c r="D47" s="695"/>
      <c r="E47" s="697"/>
      <c r="F47" s="554"/>
      <c r="G47" s="554"/>
      <c r="H47" s="554"/>
      <c r="I47" s="554"/>
      <c r="J47" s="554"/>
      <c r="K47" s="554"/>
      <c r="L47" s="554"/>
      <c r="M47" s="692"/>
      <c r="N47" s="786"/>
      <c r="O47" s="554"/>
      <c r="P47" s="619"/>
      <c r="Q47" s="693"/>
      <c r="R47" s="619"/>
      <c r="U47" s="669"/>
    </row>
    <row r="48" spans="1:21" ht="12.75">
      <c r="A48" s="555"/>
      <c r="B48" s="672"/>
      <c r="C48" s="554"/>
      <c r="D48" s="554"/>
      <c r="E48" s="554"/>
      <c r="F48" s="554"/>
      <c r="G48" s="554"/>
      <c r="H48" s="554"/>
      <c r="I48" s="554"/>
      <c r="J48" s="554"/>
      <c r="K48" s="554"/>
      <c r="L48" s="554"/>
      <c r="M48" s="692"/>
      <c r="N48" s="786"/>
      <c r="O48" s="554"/>
      <c r="P48" s="619"/>
      <c r="Q48" s="693"/>
      <c r="R48" s="619"/>
      <c r="U48" s="669"/>
    </row>
    <row r="49" spans="1:21" ht="12.75">
      <c r="A49" s="555" t="s">
        <v>407</v>
      </c>
      <c r="B49" s="672" t="s">
        <v>409</v>
      </c>
      <c r="C49" s="554">
        <f>+'inter Company trasaction'!G27</f>
        <v>31265162.3</v>
      </c>
      <c r="D49" s="554"/>
      <c r="E49" s="554"/>
      <c r="F49" s="554"/>
      <c r="G49" s="554"/>
      <c r="H49" s="554"/>
      <c r="I49" s="554"/>
      <c r="J49" s="554"/>
      <c r="K49" s="554"/>
      <c r="L49" s="554"/>
      <c r="M49" s="692"/>
      <c r="N49" s="786"/>
      <c r="O49" s="554">
        <f>C49</f>
        <v>31265162.3</v>
      </c>
      <c r="P49" s="619"/>
      <c r="Q49" s="693"/>
      <c r="R49" s="619"/>
      <c r="S49" s="793" t="s">
        <v>925</v>
      </c>
      <c r="U49" s="669"/>
    </row>
    <row r="50" spans="1:21" ht="12.75">
      <c r="A50" s="555"/>
      <c r="B50" s="672" t="s">
        <v>410</v>
      </c>
      <c r="C50" s="554"/>
      <c r="D50" s="554">
        <f>-C49</f>
        <v>-31265162.3</v>
      </c>
      <c r="E50" s="554"/>
      <c r="F50" s="554"/>
      <c r="G50" s="554"/>
      <c r="H50" s="554"/>
      <c r="I50" s="554"/>
      <c r="J50" s="554"/>
      <c r="K50" s="554"/>
      <c r="L50" s="554"/>
      <c r="M50" s="692"/>
      <c r="N50" s="786"/>
      <c r="O50" s="554">
        <f>D50</f>
        <v>-31265162.3</v>
      </c>
      <c r="P50" s="619"/>
      <c r="Q50" s="693"/>
      <c r="R50" s="619"/>
      <c r="U50" s="669"/>
    </row>
    <row r="51" spans="1:21" ht="12.75">
      <c r="A51" s="555"/>
      <c r="B51" s="694" t="s">
        <v>963</v>
      </c>
      <c r="C51" s="554"/>
      <c r="D51" s="554"/>
      <c r="E51" s="554"/>
      <c r="F51" s="554"/>
      <c r="G51" s="554"/>
      <c r="H51" s="554"/>
      <c r="I51" s="554"/>
      <c r="J51" s="554"/>
      <c r="K51" s="554"/>
      <c r="L51" s="554"/>
      <c r="M51" s="692"/>
      <c r="N51" s="786"/>
      <c r="O51" s="554"/>
      <c r="P51" s="619"/>
      <c r="Q51" s="693"/>
      <c r="R51" s="619"/>
      <c r="U51" s="669"/>
    </row>
    <row r="52" spans="1:21" ht="12.75">
      <c r="A52" s="555"/>
      <c r="B52" s="672"/>
      <c r="C52" s="554"/>
      <c r="D52" s="554"/>
      <c r="E52" s="554"/>
      <c r="F52" s="554"/>
      <c r="G52" s="554"/>
      <c r="H52" s="554"/>
      <c r="I52" s="554"/>
      <c r="J52" s="554"/>
      <c r="K52" s="554"/>
      <c r="L52" s="554"/>
      <c r="M52" s="692"/>
      <c r="N52" s="786"/>
      <c r="O52" s="554"/>
      <c r="P52" s="619"/>
      <c r="Q52" s="693"/>
      <c r="R52" s="619"/>
      <c r="U52" s="669"/>
    </row>
    <row r="53" spans="1:21" ht="12.75">
      <c r="A53" s="555"/>
      <c r="B53" s="701" t="s">
        <v>82</v>
      </c>
      <c r="C53" s="554"/>
      <c r="D53" s="554"/>
      <c r="E53" s="554"/>
      <c r="F53" s="554"/>
      <c r="G53" s="554"/>
      <c r="H53" s="554"/>
      <c r="I53" s="554"/>
      <c r="J53" s="554"/>
      <c r="K53" s="554"/>
      <c r="L53" s="554"/>
      <c r="M53" s="692"/>
      <c r="N53" s="786"/>
      <c r="O53" s="554"/>
      <c r="P53" s="619"/>
      <c r="Q53" s="693"/>
      <c r="R53" s="619"/>
      <c r="U53" s="669"/>
    </row>
    <row r="54" spans="1:21" ht="12.75">
      <c r="A54" s="555"/>
      <c r="B54" s="694"/>
      <c r="C54" s="554"/>
      <c r="D54" s="554"/>
      <c r="E54" s="554"/>
      <c r="F54" s="554"/>
      <c r="G54" s="554"/>
      <c r="H54" s="554"/>
      <c r="I54" s="554"/>
      <c r="J54" s="554"/>
      <c r="K54" s="554"/>
      <c r="L54" s="554"/>
      <c r="M54" s="692"/>
      <c r="N54" s="786"/>
      <c r="O54" s="554"/>
      <c r="P54" s="619"/>
      <c r="Q54" s="693"/>
      <c r="R54" s="619"/>
      <c r="U54" s="669"/>
    </row>
    <row r="55" spans="1:21" ht="12.75">
      <c r="A55" s="555" t="s">
        <v>408</v>
      </c>
      <c r="B55" s="672" t="s">
        <v>246</v>
      </c>
      <c r="C55" s="554"/>
      <c r="D55" s="554"/>
      <c r="E55" s="554"/>
      <c r="F55" s="554"/>
      <c r="G55" s="554"/>
      <c r="H55" s="554"/>
      <c r="I55" s="554"/>
      <c r="J55" s="554"/>
      <c r="K55" s="554"/>
      <c r="L55" s="554"/>
      <c r="M55" s="692"/>
      <c r="N55" s="786"/>
      <c r="O55" s="554"/>
      <c r="P55" s="619"/>
      <c r="Q55" s="693"/>
      <c r="R55" s="619"/>
      <c r="U55" s="669"/>
    </row>
    <row r="56" spans="1:21" ht="12.75">
      <c r="A56" s="555"/>
      <c r="B56" s="672" t="s">
        <v>412</v>
      </c>
      <c r="C56" s="554">
        <f>+'P&amp;L'!U22*1000-'P&amp;L'!C22*1000-'P&amp;L'!F22*1000-'P&amp;L'!Q22*1000</f>
        <v>897053</v>
      </c>
      <c r="D56" s="554"/>
      <c r="E56" s="796"/>
      <c r="F56" s="554"/>
      <c r="G56" s="554"/>
      <c r="H56" s="554"/>
      <c r="I56" s="554"/>
      <c r="J56" s="554"/>
      <c r="K56" s="554"/>
      <c r="L56" s="554"/>
      <c r="M56" s="692"/>
      <c r="N56" s="786"/>
      <c r="O56" s="554">
        <f aca="true" t="shared" si="0" ref="O56:O61">+C56</f>
        <v>897053</v>
      </c>
      <c r="P56" s="619"/>
      <c r="Q56" s="693"/>
      <c r="R56" s="619"/>
      <c r="S56" s="793" t="s">
        <v>925</v>
      </c>
      <c r="U56" s="669"/>
    </row>
    <row r="57" spans="1:21" ht="12.75">
      <c r="A57" s="555"/>
      <c r="B57" s="672" t="s">
        <v>413</v>
      </c>
      <c r="C57" s="554">
        <f>+'P&amp;L'!U21*1000</f>
        <v>0</v>
      </c>
      <c r="D57" s="554"/>
      <c r="E57" s="554"/>
      <c r="F57" s="554"/>
      <c r="G57" s="554"/>
      <c r="H57" s="554"/>
      <c r="I57" s="554"/>
      <c r="J57" s="554"/>
      <c r="K57" s="554"/>
      <c r="L57" s="554"/>
      <c r="M57" s="692"/>
      <c r="N57" s="786"/>
      <c r="O57" s="554">
        <f t="shared" si="0"/>
        <v>0</v>
      </c>
      <c r="P57" s="619"/>
      <c r="Q57" s="693"/>
      <c r="R57" s="619"/>
      <c r="U57" s="669"/>
    </row>
    <row r="58" spans="1:21" ht="12.75">
      <c r="A58" s="555"/>
      <c r="B58" s="672" t="s">
        <v>220</v>
      </c>
      <c r="C58" s="554">
        <f>+'P&amp;L'!B55*1000</f>
        <v>416000</v>
      </c>
      <c r="D58" s="554"/>
      <c r="E58" s="554"/>
      <c r="F58" s="554"/>
      <c r="G58" s="554"/>
      <c r="H58" s="554"/>
      <c r="I58" s="554"/>
      <c r="J58" s="554"/>
      <c r="K58" s="554"/>
      <c r="L58" s="554"/>
      <c r="M58" s="692"/>
      <c r="N58" s="786"/>
      <c r="O58" s="554">
        <f t="shared" si="0"/>
        <v>416000</v>
      </c>
      <c r="P58" s="619"/>
      <c r="Q58" s="693"/>
      <c r="R58" s="619"/>
      <c r="U58" s="669"/>
    </row>
    <row r="59" spans="1:21" ht="12.75">
      <c r="A59" s="555"/>
      <c r="B59" s="672" t="s">
        <v>40</v>
      </c>
      <c r="C59" s="554">
        <f>-(+D67+D68)</f>
        <v>2015895</v>
      </c>
      <c r="D59" s="554"/>
      <c r="E59" s="554"/>
      <c r="F59" s="554"/>
      <c r="G59" s="554"/>
      <c r="H59" s="554"/>
      <c r="I59" s="554"/>
      <c r="J59" s="554"/>
      <c r="K59" s="554"/>
      <c r="L59" s="554"/>
      <c r="M59" s="692"/>
      <c r="N59" s="786"/>
      <c r="O59" s="554">
        <f t="shared" si="0"/>
        <v>2015895</v>
      </c>
      <c r="P59" s="619"/>
      <c r="Q59" s="693"/>
      <c r="R59" s="619"/>
      <c r="U59" s="669"/>
    </row>
    <row r="60" spans="1:21" ht="12.75">
      <c r="A60" s="555"/>
      <c r="B60" s="672" t="s">
        <v>1209</v>
      </c>
      <c r="C60" s="554">
        <v>0</v>
      </c>
      <c r="D60" s="554"/>
      <c r="E60" s="554"/>
      <c r="F60" s="554"/>
      <c r="G60" s="554"/>
      <c r="H60" s="554"/>
      <c r="I60" s="554"/>
      <c r="J60" s="554"/>
      <c r="K60" s="554"/>
      <c r="L60" s="554"/>
      <c r="M60" s="692"/>
      <c r="N60" s="786"/>
      <c r="O60" s="554">
        <f t="shared" si="0"/>
        <v>0</v>
      </c>
      <c r="P60" s="619"/>
      <c r="Q60" s="693"/>
      <c r="R60" s="619"/>
      <c r="U60" s="669"/>
    </row>
    <row r="61" spans="1:21" ht="13.5" thickBot="1">
      <c r="A61" s="555"/>
      <c r="B61" s="556" t="s">
        <v>484</v>
      </c>
      <c r="C61" s="554">
        <f>-D69</f>
        <v>0</v>
      </c>
      <c r="D61" s="554"/>
      <c r="E61" s="554"/>
      <c r="F61" s="554"/>
      <c r="G61" s="554"/>
      <c r="H61" s="554"/>
      <c r="I61" s="554"/>
      <c r="J61" s="554"/>
      <c r="K61" s="554"/>
      <c r="L61" s="554"/>
      <c r="M61" s="692"/>
      <c r="N61" s="786"/>
      <c r="O61" s="554">
        <f t="shared" si="0"/>
        <v>0</v>
      </c>
      <c r="P61" s="619"/>
      <c r="Q61" s="693"/>
      <c r="R61" s="619"/>
      <c r="U61" s="669"/>
    </row>
    <row r="62" spans="1:21" ht="14.25" customHeight="1" thickBot="1">
      <c r="A62" s="555"/>
      <c r="B62" s="672"/>
      <c r="C62" s="702">
        <f>SUM(C56:C61)</f>
        <v>3328948</v>
      </c>
      <c r="D62" s="554"/>
      <c r="E62" s="554"/>
      <c r="F62" s="554"/>
      <c r="G62" s="554"/>
      <c r="H62" s="554"/>
      <c r="I62" s="554"/>
      <c r="J62" s="554"/>
      <c r="K62" s="554"/>
      <c r="L62" s="554"/>
      <c r="M62" s="692"/>
      <c r="N62" s="786"/>
      <c r="O62" s="554"/>
      <c r="P62" s="619"/>
      <c r="Q62" s="693"/>
      <c r="R62" s="619"/>
      <c r="U62" s="669"/>
    </row>
    <row r="63" spans="1:21" ht="12.75">
      <c r="A63" s="555"/>
      <c r="B63" s="672"/>
      <c r="C63" s="554"/>
      <c r="D63" s="554"/>
      <c r="E63" s="554"/>
      <c r="F63" s="554"/>
      <c r="G63" s="554"/>
      <c r="H63" s="554"/>
      <c r="I63" s="554"/>
      <c r="J63" s="554"/>
      <c r="K63" s="554"/>
      <c r="L63" s="554"/>
      <c r="M63" s="692"/>
      <c r="N63" s="786"/>
      <c r="O63" s="554"/>
      <c r="P63" s="619"/>
      <c r="Q63" s="693"/>
      <c r="R63" s="619"/>
      <c r="U63" s="669"/>
    </row>
    <row r="64" spans="1:21" ht="12.75">
      <c r="A64" s="555"/>
      <c r="B64" s="672" t="s">
        <v>415</v>
      </c>
      <c r="C64" s="554"/>
      <c r="D64" s="554"/>
      <c r="E64" s="554"/>
      <c r="F64" s="554"/>
      <c r="G64" s="554"/>
      <c r="H64" s="554"/>
      <c r="I64" s="554"/>
      <c r="J64" s="554"/>
      <c r="K64" s="554"/>
      <c r="L64" s="554"/>
      <c r="M64" s="692"/>
      <c r="N64" s="786"/>
      <c r="O64" s="554"/>
      <c r="P64" s="619"/>
      <c r="Q64" s="693"/>
      <c r="R64" s="619"/>
      <c r="U64" s="669"/>
    </row>
    <row r="65" spans="1:21" ht="12.75">
      <c r="A65" s="555"/>
      <c r="B65" s="672" t="s">
        <v>412</v>
      </c>
      <c r="C65" s="554"/>
      <c r="D65" s="554">
        <f>-'P&amp;L'!U22*1000+'P&amp;L'!C22*1000+'P&amp;L'!F22*1000+'P&amp;L'!Q22*1000</f>
        <v>-897053</v>
      </c>
      <c r="E65" s="554"/>
      <c r="F65" s="554"/>
      <c r="G65" s="554"/>
      <c r="H65" s="554"/>
      <c r="I65" s="554"/>
      <c r="J65" s="554"/>
      <c r="K65" s="554"/>
      <c r="L65" s="554"/>
      <c r="M65" s="692"/>
      <c r="N65" s="786"/>
      <c r="O65" s="554">
        <f>D65</f>
        <v>-897053</v>
      </c>
      <c r="P65" s="619"/>
      <c r="Q65" s="693"/>
      <c r="R65" s="619"/>
      <c r="U65" s="669"/>
    </row>
    <row r="66" spans="1:21" ht="12.75">
      <c r="A66" s="555"/>
      <c r="B66" s="672" t="s">
        <v>416</v>
      </c>
      <c r="C66" s="554"/>
      <c r="D66" s="554">
        <f>-'P&amp;L'!U55*1000</f>
        <v>-416000</v>
      </c>
      <c r="E66" s="554"/>
      <c r="F66" s="554"/>
      <c r="G66" s="554"/>
      <c r="H66" s="554"/>
      <c r="I66" s="554"/>
      <c r="J66" s="554"/>
      <c r="K66" s="554"/>
      <c r="L66" s="554"/>
      <c r="M66" s="692"/>
      <c r="N66" s="786"/>
      <c r="O66" s="554">
        <f>D66</f>
        <v>-416000</v>
      </c>
      <c r="P66" s="619"/>
      <c r="Q66" s="693"/>
      <c r="R66" s="619"/>
      <c r="U66" s="669"/>
    </row>
    <row r="67" spans="1:21" ht="12.75">
      <c r="A67" s="555"/>
      <c r="B67" s="672" t="s">
        <v>1210</v>
      </c>
      <c r="C67" s="554"/>
      <c r="D67" s="554">
        <v>0</v>
      </c>
      <c r="E67" s="554"/>
      <c r="F67" s="554"/>
      <c r="G67" s="554"/>
      <c r="H67" s="554"/>
      <c r="I67" s="554"/>
      <c r="J67" s="554"/>
      <c r="K67" s="554"/>
      <c r="L67" s="554"/>
      <c r="M67" s="692"/>
      <c r="N67" s="786"/>
      <c r="O67" s="554">
        <f>+D67</f>
        <v>0</v>
      </c>
      <c r="P67" s="619"/>
      <c r="Q67" s="693"/>
      <c r="R67" s="619"/>
      <c r="U67" s="669"/>
    </row>
    <row r="68" spans="1:21" ht="12.75">
      <c r="A68" s="555"/>
      <c r="B68" s="672" t="s">
        <v>40</v>
      </c>
      <c r="C68" s="554"/>
      <c r="D68" s="554">
        <f>-+'P&amp;L'!U54*1000</f>
        <v>-2015895</v>
      </c>
      <c r="E68" s="554"/>
      <c r="F68" s="554"/>
      <c r="G68" s="554"/>
      <c r="H68" s="554"/>
      <c r="I68" s="554"/>
      <c r="J68" s="554"/>
      <c r="K68" s="554"/>
      <c r="L68" s="554"/>
      <c r="M68" s="692"/>
      <c r="N68" s="786"/>
      <c r="O68" s="554">
        <f>D68</f>
        <v>-2015895</v>
      </c>
      <c r="P68" s="619"/>
      <c r="Q68" s="693"/>
      <c r="R68" s="619"/>
      <c r="U68" s="669"/>
    </row>
    <row r="69" spans="1:21" ht="13.5" thickBot="1">
      <c r="A69" s="555"/>
      <c r="B69" s="556" t="s">
        <v>485</v>
      </c>
      <c r="C69" s="554"/>
      <c r="D69" s="554">
        <f>-+'P&amp;L'!L23*1000</f>
        <v>0</v>
      </c>
      <c r="E69" s="554"/>
      <c r="F69" s="554"/>
      <c r="G69" s="554"/>
      <c r="H69" s="554"/>
      <c r="I69" s="554"/>
      <c r="J69" s="554"/>
      <c r="K69" s="554"/>
      <c r="L69" s="554"/>
      <c r="M69" s="692"/>
      <c r="N69" s="786"/>
      <c r="O69" s="554">
        <f>D69</f>
        <v>0</v>
      </c>
      <c r="P69" s="619"/>
      <c r="Q69" s="693"/>
      <c r="R69" s="569"/>
      <c r="U69" s="669"/>
    </row>
    <row r="70" spans="1:21" ht="13.5" thickBot="1">
      <c r="A70" s="555"/>
      <c r="B70" s="556"/>
      <c r="C70" s="554"/>
      <c r="D70" s="702">
        <f>SUM(D65:D69)</f>
        <v>-3328948</v>
      </c>
      <c r="E70" s="554"/>
      <c r="F70" s="554"/>
      <c r="G70" s="554"/>
      <c r="H70" s="554"/>
      <c r="I70" s="554"/>
      <c r="J70" s="554"/>
      <c r="K70" s="554"/>
      <c r="L70" s="554"/>
      <c r="M70" s="692"/>
      <c r="N70" s="786"/>
      <c r="O70" s="554"/>
      <c r="P70" s="619"/>
      <c r="Q70" s="693"/>
      <c r="R70" s="569"/>
      <c r="U70" s="669"/>
    </row>
    <row r="71" spans="1:21" ht="12.75">
      <c r="A71" s="555"/>
      <c r="B71" s="672"/>
      <c r="C71" s="554"/>
      <c r="D71" s="554"/>
      <c r="E71" s="554"/>
      <c r="F71" s="554"/>
      <c r="G71" s="554"/>
      <c r="H71" s="554"/>
      <c r="I71" s="554"/>
      <c r="J71" s="554"/>
      <c r="K71" s="554"/>
      <c r="L71" s="554"/>
      <c r="M71" s="692"/>
      <c r="N71" s="786"/>
      <c r="O71" s="554"/>
      <c r="P71" s="619"/>
      <c r="Q71" s="615"/>
      <c r="R71" s="569"/>
      <c r="U71" s="669"/>
    </row>
    <row r="72" spans="1:21" ht="12.75">
      <c r="A72" s="555" t="s">
        <v>411</v>
      </c>
      <c r="B72" s="672" t="s">
        <v>418</v>
      </c>
      <c r="C72" s="795">
        <f>+'B. Sheet'!W86*1000+'B. Sheet'!W51*1000</f>
        <v>53489355</v>
      </c>
      <c r="D72" s="554"/>
      <c r="E72" s="554"/>
      <c r="F72" s="554"/>
      <c r="G72" s="554"/>
      <c r="H72" s="554"/>
      <c r="I72" s="554"/>
      <c r="J72" s="554"/>
      <c r="K72" s="554"/>
      <c r="L72" s="554"/>
      <c r="M72" s="797">
        <f>C72</f>
        <v>53489355</v>
      </c>
      <c r="N72" s="786"/>
      <c r="O72" s="554"/>
      <c r="P72" s="619"/>
      <c r="Q72" s="615"/>
      <c r="R72" s="569"/>
      <c r="S72" s="794" t="s">
        <v>925</v>
      </c>
      <c r="U72" s="669"/>
    </row>
    <row r="73" spans="1:21" ht="12.75">
      <c r="A73" s="555"/>
      <c r="B73" s="672" t="s">
        <v>915</v>
      </c>
      <c r="C73" s="554">
        <f>-C72-D74-D75</f>
        <v>98862.68999999762</v>
      </c>
      <c r="D73" s="554"/>
      <c r="E73" s="554"/>
      <c r="F73" s="554"/>
      <c r="G73" s="554"/>
      <c r="H73" s="554"/>
      <c r="I73" s="554"/>
      <c r="J73" s="554"/>
      <c r="K73" s="554"/>
      <c r="L73" s="554"/>
      <c r="M73" s="797">
        <f>+C73</f>
        <v>98862.68999999762</v>
      </c>
      <c r="N73" s="786"/>
      <c r="O73" s="554"/>
      <c r="P73" s="619"/>
      <c r="Q73" s="615"/>
      <c r="R73" s="569"/>
      <c r="S73" s="794"/>
      <c r="U73" s="669"/>
    </row>
    <row r="74" spans="1:21" ht="12.75">
      <c r="A74" s="555"/>
      <c r="B74" s="672" t="s">
        <v>419</v>
      </c>
      <c r="C74" s="554"/>
      <c r="D74" s="795">
        <f>-'B. Sheet'!W35*1000</f>
        <v>-11606005</v>
      </c>
      <c r="E74" s="554"/>
      <c r="F74" s="554"/>
      <c r="G74" s="554"/>
      <c r="H74" s="554"/>
      <c r="I74" s="554"/>
      <c r="J74" s="554"/>
      <c r="K74" s="554"/>
      <c r="L74" s="554"/>
      <c r="M74" s="797">
        <f>D74</f>
        <v>-11606005</v>
      </c>
      <c r="N74" s="786"/>
      <c r="O74" s="787"/>
      <c r="P74" s="569"/>
      <c r="Q74" s="615"/>
      <c r="R74" s="569"/>
      <c r="S74" s="794"/>
      <c r="U74" s="669"/>
    </row>
    <row r="75" spans="1:21" ht="12.75">
      <c r="A75" s="555"/>
      <c r="B75" s="672" t="s">
        <v>420</v>
      </c>
      <c r="C75" s="554"/>
      <c r="D75" s="795">
        <f>-'B. Sheet'!K15*1000-'B. Sheet'!Y15*1000</f>
        <v>-41982212.69</v>
      </c>
      <c r="E75" s="554"/>
      <c r="F75" s="554"/>
      <c r="G75" s="554"/>
      <c r="H75" s="554"/>
      <c r="I75" s="554">
        <f>D75</f>
        <v>-41982212.69</v>
      </c>
      <c r="J75" s="554"/>
      <c r="K75" s="554"/>
      <c r="L75" s="554"/>
      <c r="M75" s="692"/>
      <c r="N75" s="786"/>
      <c r="O75" s="787"/>
      <c r="P75" s="569"/>
      <c r="Q75" s="703"/>
      <c r="R75" s="704"/>
      <c r="S75" s="794"/>
      <c r="U75" s="669"/>
    </row>
    <row r="76" spans="1:21" ht="12.75">
      <c r="A76" s="555"/>
      <c r="B76" s="672"/>
      <c r="C76" s="554"/>
      <c r="D76" s="554"/>
      <c r="E76" s="554"/>
      <c r="F76" s="554"/>
      <c r="G76" s="554"/>
      <c r="H76" s="554"/>
      <c r="I76" s="554"/>
      <c r="J76" s="554"/>
      <c r="K76" s="554"/>
      <c r="L76" s="554"/>
      <c r="M76" s="692"/>
      <c r="N76" s="786"/>
      <c r="O76" s="787"/>
      <c r="P76" s="569"/>
      <c r="Q76" s="615"/>
      <c r="R76" s="569"/>
      <c r="U76" s="669"/>
    </row>
    <row r="77" spans="1:21" ht="12.75">
      <c r="A77" s="555" t="s">
        <v>417</v>
      </c>
      <c r="B77" s="672" t="s">
        <v>422</v>
      </c>
      <c r="C77" s="795">
        <f>+'B. Sheet'!W53*1000</f>
        <v>8637732</v>
      </c>
      <c r="D77" s="554"/>
      <c r="E77" s="554"/>
      <c r="F77" s="554"/>
      <c r="G77" s="554"/>
      <c r="H77" s="554"/>
      <c r="I77" s="554"/>
      <c r="J77" s="554"/>
      <c r="K77" s="554"/>
      <c r="L77" s="554"/>
      <c r="M77" s="797">
        <f>C77</f>
        <v>8637732</v>
      </c>
      <c r="N77" s="786"/>
      <c r="O77" s="787"/>
      <c r="P77" s="569"/>
      <c r="Q77" s="615"/>
      <c r="R77" s="569"/>
      <c r="S77" s="794" t="s">
        <v>925</v>
      </c>
      <c r="U77" s="669"/>
    </row>
    <row r="78" spans="1:21" ht="12.75">
      <c r="A78" s="555"/>
      <c r="B78" s="672" t="s">
        <v>509</v>
      </c>
      <c r="C78" s="554"/>
      <c r="D78" s="554">
        <f>-D79-C77</f>
        <v>-6256678</v>
      </c>
      <c r="E78" s="554"/>
      <c r="F78" s="554"/>
      <c r="G78" s="554"/>
      <c r="H78" s="554"/>
      <c r="I78" s="554"/>
      <c r="J78" s="554"/>
      <c r="K78" s="554"/>
      <c r="L78" s="554"/>
      <c r="M78" s="797">
        <f>+D78</f>
        <v>-6256678</v>
      </c>
      <c r="N78" s="786"/>
      <c r="O78" s="787"/>
      <c r="P78" s="569"/>
      <c r="Q78" s="615"/>
      <c r="R78" s="569"/>
      <c r="S78" s="794"/>
      <c r="U78" s="669"/>
    </row>
    <row r="79" spans="1:21" ht="12.75">
      <c r="A79" s="555"/>
      <c r="B79" s="672" t="s">
        <v>423</v>
      </c>
      <c r="C79" s="554"/>
      <c r="D79" s="795">
        <f>-'B. Sheet'!W37*1000</f>
        <v>-2381054</v>
      </c>
      <c r="E79" s="554"/>
      <c r="F79" s="554"/>
      <c r="G79" s="554"/>
      <c r="H79" s="554"/>
      <c r="I79" s="554"/>
      <c r="J79" s="554"/>
      <c r="K79" s="554"/>
      <c r="L79" s="554"/>
      <c r="M79" s="797">
        <f>D79</f>
        <v>-2381054</v>
      </c>
      <c r="N79" s="786"/>
      <c r="O79" s="787"/>
      <c r="P79" s="569"/>
      <c r="Q79" s="615"/>
      <c r="R79" s="569"/>
      <c r="S79" s="794"/>
      <c r="U79" s="669"/>
    </row>
    <row r="80" spans="1:21" ht="12.75">
      <c r="A80" s="555"/>
      <c r="B80" s="672"/>
      <c r="C80" s="554"/>
      <c r="D80" s="554"/>
      <c r="E80" s="554"/>
      <c r="F80" s="554"/>
      <c r="G80" s="554"/>
      <c r="H80" s="554"/>
      <c r="I80" s="554"/>
      <c r="J80" s="554"/>
      <c r="K80" s="554"/>
      <c r="L80" s="554"/>
      <c r="M80" s="692"/>
      <c r="N80" s="786"/>
      <c r="O80" s="787"/>
      <c r="P80" s="569"/>
      <c r="Q80" s="615"/>
      <c r="R80" s="569"/>
      <c r="U80" s="798"/>
    </row>
    <row r="81" spans="1:21" ht="12.75">
      <c r="A81" s="555" t="s">
        <v>421</v>
      </c>
      <c r="B81" s="672" t="s">
        <v>425</v>
      </c>
      <c r="C81" s="795">
        <f>-'B. Sheet'!M15*1000</f>
        <v>4803241</v>
      </c>
      <c r="D81" s="554"/>
      <c r="E81" s="554"/>
      <c r="F81" s="554"/>
      <c r="G81" s="554"/>
      <c r="H81" s="554"/>
      <c r="I81" s="554">
        <f>+C81</f>
        <v>4803241</v>
      </c>
      <c r="J81" s="554"/>
      <c r="K81" s="554"/>
      <c r="L81" s="554"/>
      <c r="M81" s="692"/>
      <c r="N81" s="786"/>
      <c r="O81" s="787"/>
      <c r="P81" s="569"/>
      <c r="Q81" s="615"/>
      <c r="R81" s="569"/>
      <c r="S81" s="794" t="s">
        <v>925</v>
      </c>
      <c r="U81" s="669"/>
    </row>
    <row r="82" spans="1:21" ht="12.75">
      <c r="A82" s="555"/>
      <c r="B82" s="672" t="s">
        <v>812</v>
      </c>
      <c r="C82" s="554">
        <f>-(D83+C81)</f>
        <v>0</v>
      </c>
      <c r="D82" s="554"/>
      <c r="E82" s="554"/>
      <c r="F82" s="554"/>
      <c r="G82" s="554"/>
      <c r="H82" s="554"/>
      <c r="I82" s="554"/>
      <c r="J82" s="554"/>
      <c r="K82" s="554"/>
      <c r="L82" s="554"/>
      <c r="M82" s="797">
        <f>C82</f>
        <v>0</v>
      </c>
      <c r="N82" s="786"/>
      <c r="O82" s="787"/>
      <c r="P82" s="569"/>
      <c r="Q82" s="615"/>
      <c r="R82" s="569"/>
      <c r="U82" s="669"/>
    </row>
    <row r="83" spans="1:21" ht="12.75">
      <c r="A83" s="555"/>
      <c r="B83" s="672" t="s">
        <v>426</v>
      </c>
      <c r="C83" s="554"/>
      <c r="D83" s="795">
        <f>-'B. Sheet'!W34*1000</f>
        <v>-4803241</v>
      </c>
      <c r="E83" s="554"/>
      <c r="F83" s="554"/>
      <c r="G83" s="554"/>
      <c r="H83" s="554"/>
      <c r="I83" s="554"/>
      <c r="J83" s="554"/>
      <c r="K83" s="554"/>
      <c r="L83" s="554"/>
      <c r="M83" s="797">
        <f>+D83</f>
        <v>-4803241</v>
      </c>
      <c r="N83" s="786"/>
      <c r="O83" s="787"/>
      <c r="P83" s="569"/>
      <c r="Q83" s="615"/>
      <c r="R83" s="569"/>
      <c r="U83" s="669"/>
    </row>
    <row r="84" spans="1:21" ht="12.75">
      <c r="A84" s="555"/>
      <c r="B84" s="672"/>
      <c r="C84" s="554"/>
      <c r="D84" s="705"/>
      <c r="E84" s="554"/>
      <c r="F84" s="554"/>
      <c r="G84" s="554"/>
      <c r="H84" s="554"/>
      <c r="I84" s="554"/>
      <c r="J84" s="554"/>
      <c r="K84" s="554"/>
      <c r="L84" s="554"/>
      <c r="M84" s="692"/>
      <c r="N84" s="786"/>
      <c r="O84" s="787"/>
      <c r="P84" s="569"/>
      <c r="Q84" s="615"/>
      <c r="R84" s="569"/>
      <c r="U84" s="669"/>
    </row>
    <row r="85" spans="1:21" ht="12.75">
      <c r="A85" s="555"/>
      <c r="B85" s="694" t="s">
        <v>970</v>
      </c>
      <c r="C85" s="695"/>
      <c r="D85" s="554"/>
      <c r="E85" s="554"/>
      <c r="F85" s="554"/>
      <c r="G85" s="554"/>
      <c r="H85" s="554"/>
      <c r="I85" s="554"/>
      <c r="J85" s="554"/>
      <c r="K85" s="554"/>
      <c r="L85" s="554"/>
      <c r="M85" s="692"/>
      <c r="N85" s="786"/>
      <c r="O85" s="787"/>
      <c r="P85" s="569"/>
      <c r="Q85" s="615"/>
      <c r="R85" s="569"/>
      <c r="U85" s="669"/>
    </row>
    <row r="86" spans="1:21" ht="12.75">
      <c r="A86" s="555"/>
      <c r="B86" s="672"/>
      <c r="C86" s="554"/>
      <c r="D86" s="554"/>
      <c r="E86" s="554"/>
      <c r="F86" s="554"/>
      <c r="G86" s="554"/>
      <c r="H86" s="554"/>
      <c r="I86" s="554"/>
      <c r="J86" s="554"/>
      <c r="K86" s="554"/>
      <c r="L86" s="554"/>
      <c r="M86" s="692"/>
      <c r="N86" s="786"/>
      <c r="O86" s="787"/>
      <c r="P86" s="569"/>
      <c r="Q86" s="615"/>
      <c r="R86" s="569"/>
      <c r="U86" s="669"/>
    </row>
    <row r="87" spans="1:21" ht="12.75">
      <c r="A87" s="555" t="s">
        <v>424</v>
      </c>
      <c r="B87" s="672" t="s">
        <v>428</v>
      </c>
      <c r="C87" s="554"/>
      <c r="D87" s="554"/>
      <c r="E87" s="554"/>
      <c r="F87" s="554"/>
      <c r="G87" s="554"/>
      <c r="H87" s="554"/>
      <c r="I87" s="554"/>
      <c r="J87" s="554"/>
      <c r="K87" s="554"/>
      <c r="L87" s="554"/>
      <c r="M87" s="692"/>
      <c r="N87" s="786"/>
      <c r="O87" s="787"/>
      <c r="P87" s="569">
        <f>C87</f>
        <v>0</v>
      </c>
      <c r="Q87" s="615"/>
      <c r="R87" s="569"/>
      <c r="S87" s="793" t="s">
        <v>751</v>
      </c>
      <c r="U87" s="669"/>
    </row>
    <row r="88" spans="1:21" ht="12.75">
      <c r="A88" s="555"/>
      <c r="B88" s="672" t="s">
        <v>829</v>
      </c>
      <c r="C88" s="554">
        <v>25415</v>
      </c>
      <c r="D88" s="554"/>
      <c r="E88" s="554"/>
      <c r="F88" s="554"/>
      <c r="G88" s="554"/>
      <c r="H88" s="554"/>
      <c r="I88" s="554"/>
      <c r="J88" s="554"/>
      <c r="K88" s="554"/>
      <c r="L88" s="554"/>
      <c r="M88" s="692"/>
      <c r="N88" s="786">
        <f>C88</f>
        <v>25415</v>
      </c>
      <c r="O88" s="787"/>
      <c r="P88" s="569"/>
      <c r="Q88" s="615"/>
      <c r="R88" s="569"/>
      <c r="U88" s="669"/>
    </row>
    <row r="89" spans="1:21" ht="12.75">
      <c r="A89" s="555"/>
      <c r="B89" s="672" t="s">
        <v>386</v>
      </c>
      <c r="C89" s="554">
        <f>-D90-C88</f>
        <v>65352</v>
      </c>
      <c r="D89" s="554"/>
      <c r="E89" s="554"/>
      <c r="F89" s="554"/>
      <c r="G89" s="554"/>
      <c r="H89" s="554"/>
      <c r="I89" s="554"/>
      <c r="J89" s="554"/>
      <c r="K89" s="554"/>
      <c r="L89" s="554"/>
      <c r="M89" s="692"/>
      <c r="N89" s="786">
        <f>C89</f>
        <v>65352</v>
      </c>
      <c r="O89" s="787"/>
      <c r="P89" s="569"/>
      <c r="Q89" s="615"/>
      <c r="R89" s="569"/>
      <c r="U89" s="669"/>
    </row>
    <row r="90" spans="1:21" ht="12.75">
      <c r="A90" s="555"/>
      <c r="B90" s="672" t="s">
        <v>429</v>
      </c>
      <c r="C90" s="554"/>
      <c r="D90" s="554">
        <v>-90767</v>
      </c>
      <c r="E90" s="554"/>
      <c r="F90" s="554"/>
      <c r="G90" s="554"/>
      <c r="H90" s="554"/>
      <c r="I90" s="554"/>
      <c r="J90" s="554"/>
      <c r="K90" s="554"/>
      <c r="L90" s="554"/>
      <c r="M90" s="692"/>
      <c r="N90" s="786">
        <f>D90</f>
        <v>-90767</v>
      </c>
      <c r="O90" s="787"/>
      <c r="P90" s="569"/>
      <c r="Q90" s="615"/>
      <c r="R90" s="569"/>
      <c r="U90" s="669"/>
    </row>
    <row r="91" spans="1:21" ht="12.75">
      <c r="A91" s="555"/>
      <c r="B91" s="672"/>
      <c r="C91" s="554"/>
      <c r="D91" s="554"/>
      <c r="E91" s="554"/>
      <c r="F91" s="554"/>
      <c r="G91" s="554"/>
      <c r="H91" s="554"/>
      <c r="I91" s="554"/>
      <c r="J91" s="554"/>
      <c r="K91" s="554"/>
      <c r="L91" s="554"/>
      <c r="M91" s="692"/>
      <c r="N91" s="786"/>
      <c r="O91" s="787"/>
      <c r="P91" s="569"/>
      <c r="Q91" s="615"/>
      <c r="R91" s="569"/>
      <c r="U91" s="669"/>
    </row>
    <row r="92" spans="1:21" ht="12.75">
      <c r="A92" s="555"/>
      <c r="B92" s="672" t="s">
        <v>430</v>
      </c>
      <c r="C92" s="554"/>
      <c r="D92" s="554"/>
      <c r="E92" s="554"/>
      <c r="F92" s="554"/>
      <c r="G92" s="554"/>
      <c r="H92" s="554"/>
      <c r="I92" s="554"/>
      <c r="J92" s="554"/>
      <c r="K92" s="554"/>
      <c r="L92" s="554"/>
      <c r="M92" s="692"/>
      <c r="N92" s="786"/>
      <c r="O92" s="787"/>
      <c r="P92" s="569"/>
      <c r="Q92" s="615"/>
      <c r="R92" s="569"/>
      <c r="U92" s="669"/>
    </row>
    <row r="93" spans="1:21" ht="12.75">
      <c r="A93" s="555"/>
      <c r="B93" s="672"/>
      <c r="C93" s="554"/>
      <c r="D93" s="554"/>
      <c r="E93" s="554"/>
      <c r="F93" s="554"/>
      <c r="G93" s="554"/>
      <c r="H93" s="554"/>
      <c r="I93" s="554"/>
      <c r="J93" s="554"/>
      <c r="K93" s="554"/>
      <c r="L93" s="554"/>
      <c r="M93" s="692"/>
      <c r="N93" s="786"/>
      <c r="O93" s="787"/>
      <c r="P93" s="569"/>
      <c r="Q93" s="615"/>
      <c r="R93" s="569"/>
      <c r="U93" s="669"/>
    </row>
    <row r="94" spans="1:21" ht="12.75">
      <c r="A94" s="555" t="s">
        <v>427</v>
      </c>
      <c r="B94" s="672" t="s">
        <v>486</v>
      </c>
      <c r="C94" s="554">
        <f>+working!G73</f>
        <v>0</v>
      </c>
      <c r="D94" s="554"/>
      <c r="E94" s="554"/>
      <c r="F94" s="554"/>
      <c r="G94" s="554"/>
      <c r="H94" s="554"/>
      <c r="I94" s="554"/>
      <c r="J94" s="554"/>
      <c r="K94" s="554"/>
      <c r="L94" s="554"/>
      <c r="M94" s="692"/>
      <c r="N94" s="786"/>
      <c r="O94" s="787">
        <f>C94</f>
        <v>0</v>
      </c>
      <c r="P94" s="569"/>
      <c r="Q94" s="615"/>
      <c r="R94" s="569"/>
      <c r="U94" s="669"/>
    </row>
    <row r="95" spans="1:21" ht="12.75">
      <c r="A95" s="555"/>
      <c r="B95" s="672" t="s">
        <v>487</v>
      </c>
      <c r="C95" s="554">
        <f>+working!H73</f>
        <v>0</v>
      </c>
      <c r="D95" s="554"/>
      <c r="E95" s="554"/>
      <c r="F95" s="554"/>
      <c r="G95" s="554"/>
      <c r="H95" s="554"/>
      <c r="I95" s="554"/>
      <c r="J95" s="554"/>
      <c r="K95" s="554"/>
      <c r="L95" s="554"/>
      <c r="M95" s="692">
        <f>C95</f>
        <v>0</v>
      </c>
      <c r="N95" s="786"/>
      <c r="O95" s="787"/>
      <c r="P95" s="569"/>
      <c r="Q95" s="615"/>
      <c r="R95" s="569"/>
      <c r="U95" s="669"/>
    </row>
    <row r="96" spans="1:21" ht="12.75">
      <c r="A96" s="555"/>
      <c r="B96" s="672" t="s">
        <v>488</v>
      </c>
      <c r="C96" s="554"/>
      <c r="D96" s="554">
        <f>-working!G73</f>
        <v>0</v>
      </c>
      <c r="E96" s="554"/>
      <c r="F96" s="554"/>
      <c r="G96" s="554"/>
      <c r="H96" s="554"/>
      <c r="I96" s="554"/>
      <c r="J96" s="554"/>
      <c r="K96" s="554"/>
      <c r="L96" s="554"/>
      <c r="M96" s="692">
        <f>D96</f>
        <v>0</v>
      </c>
      <c r="N96" s="786"/>
      <c r="O96" s="787"/>
      <c r="P96" s="569"/>
      <c r="Q96" s="615"/>
      <c r="R96" s="569"/>
      <c r="U96" s="669"/>
    </row>
    <row r="97" spans="1:21" ht="12.75">
      <c r="A97" s="555"/>
      <c r="B97" s="672" t="s">
        <v>489</v>
      </c>
      <c r="C97" s="554"/>
      <c r="D97" s="554">
        <v>0</v>
      </c>
      <c r="E97" s="554"/>
      <c r="F97" s="554"/>
      <c r="G97" s="554"/>
      <c r="H97" s="554"/>
      <c r="I97" s="554"/>
      <c r="J97" s="554"/>
      <c r="K97" s="554"/>
      <c r="L97" s="554"/>
      <c r="M97" s="692"/>
      <c r="N97" s="786"/>
      <c r="O97" s="787">
        <f>D97</f>
        <v>0</v>
      </c>
      <c r="P97" s="569"/>
      <c r="Q97" s="615"/>
      <c r="R97" s="569"/>
      <c r="U97" s="669"/>
    </row>
    <row r="98" spans="1:21" ht="12.75">
      <c r="A98" s="555"/>
      <c r="B98" s="672"/>
      <c r="C98" s="554"/>
      <c r="D98" s="554"/>
      <c r="E98" s="554"/>
      <c r="F98" s="554"/>
      <c r="G98" s="554"/>
      <c r="H98" s="554"/>
      <c r="I98" s="554"/>
      <c r="J98" s="554"/>
      <c r="K98" s="554"/>
      <c r="L98" s="554"/>
      <c r="M98" s="692"/>
      <c r="N98" s="786"/>
      <c r="O98" s="787"/>
      <c r="P98" s="569"/>
      <c r="Q98" s="615"/>
      <c r="R98" s="569"/>
      <c r="U98" s="669"/>
    </row>
    <row r="99" spans="1:21" ht="12.75">
      <c r="A99" s="555"/>
      <c r="B99" s="694" t="s">
        <v>490</v>
      </c>
      <c r="C99" s="695"/>
      <c r="D99" s="554"/>
      <c r="E99" s="554"/>
      <c r="F99" s="554"/>
      <c r="G99" s="554"/>
      <c r="H99" s="554"/>
      <c r="I99" s="554"/>
      <c r="J99" s="554"/>
      <c r="K99" s="554"/>
      <c r="L99" s="554"/>
      <c r="M99" s="692"/>
      <c r="N99" s="786"/>
      <c r="O99" s="787"/>
      <c r="P99" s="569"/>
      <c r="Q99" s="615"/>
      <c r="R99" s="569"/>
      <c r="U99" s="669"/>
    </row>
    <row r="100" spans="1:21" ht="12.75">
      <c r="A100" s="555"/>
      <c r="B100" s="672"/>
      <c r="C100" s="554"/>
      <c r="D100" s="554"/>
      <c r="E100" s="554"/>
      <c r="F100" s="554"/>
      <c r="G100" s="554"/>
      <c r="H100" s="554"/>
      <c r="I100" s="554"/>
      <c r="J100" s="554"/>
      <c r="K100" s="554"/>
      <c r="L100" s="554"/>
      <c r="M100" s="692"/>
      <c r="N100" s="786"/>
      <c r="O100" s="787"/>
      <c r="P100" s="569"/>
      <c r="Q100" s="615"/>
      <c r="R100" s="569"/>
      <c r="U100" s="669"/>
    </row>
    <row r="101" spans="1:21" ht="12.75">
      <c r="A101" s="555" t="s">
        <v>431</v>
      </c>
      <c r="B101" s="672" t="s">
        <v>491</v>
      </c>
      <c r="C101" s="554">
        <f>+working!J73</f>
        <v>0</v>
      </c>
      <c r="D101" s="554"/>
      <c r="E101" s="554"/>
      <c r="F101" s="554"/>
      <c r="G101" s="554">
        <f>C101</f>
        <v>0</v>
      </c>
      <c r="H101" s="554"/>
      <c r="I101" s="554"/>
      <c r="J101" s="554"/>
      <c r="K101" s="554"/>
      <c r="L101" s="554"/>
      <c r="M101" s="692"/>
      <c r="N101" s="786"/>
      <c r="O101" s="787"/>
      <c r="P101" s="569"/>
      <c r="Q101" s="615"/>
      <c r="R101" s="569"/>
      <c r="U101" s="669"/>
    </row>
    <row r="102" spans="1:21" ht="12.75">
      <c r="A102" s="555"/>
      <c r="B102" s="672" t="s">
        <v>492</v>
      </c>
      <c r="C102" s="554"/>
      <c r="D102" s="554">
        <f>-C101</f>
        <v>0</v>
      </c>
      <c r="E102" s="554"/>
      <c r="F102" s="554"/>
      <c r="G102" s="554"/>
      <c r="H102" s="554"/>
      <c r="I102" s="554"/>
      <c r="J102" s="554"/>
      <c r="K102" s="554"/>
      <c r="L102" s="554"/>
      <c r="M102" s="692"/>
      <c r="N102" s="786"/>
      <c r="O102" s="787"/>
      <c r="P102" s="569">
        <f>D102</f>
        <v>0</v>
      </c>
      <c r="Q102" s="615"/>
      <c r="R102" s="569"/>
      <c r="U102" s="669"/>
    </row>
    <row r="103" spans="1:21" ht="12.75">
      <c r="A103" s="555"/>
      <c r="B103" s="672"/>
      <c r="C103" s="554"/>
      <c r="D103" s="554"/>
      <c r="E103" s="554"/>
      <c r="F103" s="554"/>
      <c r="G103" s="554"/>
      <c r="H103" s="554"/>
      <c r="I103" s="554"/>
      <c r="J103" s="554"/>
      <c r="K103" s="554"/>
      <c r="L103" s="554"/>
      <c r="M103" s="692"/>
      <c r="N103" s="786"/>
      <c r="O103" s="787"/>
      <c r="P103" s="569"/>
      <c r="Q103" s="615"/>
      <c r="R103" s="569"/>
      <c r="U103" s="669"/>
    </row>
    <row r="104" spans="1:21" ht="12.75">
      <c r="A104" s="555"/>
      <c r="B104" s="694" t="s">
        <v>502</v>
      </c>
      <c r="C104" s="695"/>
      <c r="D104" s="697"/>
      <c r="E104" s="554"/>
      <c r="F104" s="554"/>
      <c r="G104" s="554"/>
      <c r="H104" s="554"/>
      <c r="I104" s="554"/>
      <c r="J104" s="554"/>
      <c r="K104" s="554"/>
      <c r="L104" s="554"/>
      <c r="M104" s="692"/>
      <c r="N104" s="786"/>
      <c r="O104" s="787"/>
      <c r="P104" s="569"/>
      <c r="Q104" s="615"/>
      <c r="R104" s="569"/>
      <c r="U104" s="669"/>
    </row>
    <row r="105" spans="1:21" ht="12.75">
      <c r="A105" s="555"/>
      <c r="B105" s="556"/>
      <c r="C105" s="695"/>
      <c r="D105" s="558"/>
      <c r="E105" s="554"/>
      <c r="F105" s="554"/>
      <c r="G105" s="554"/>
      <c r="H105" s="554"/>
      <c r="I105" s="554"/>
      <c r="J105" s="554"/>
      <c r="K105" s="554"/>
      <c r="L105" s="554"/>
      <c r="M105" s="692"/>
      <c r="N105" s="786"/>
      <c r="O105" s="787"/>
      <c r="P105" s="569"/>
      <c r="Q105" s="615"/>
      <c r="R105" s="569"/>
      <c r="U105" s="669"/>
    </row>
    <row r="106" spans="1:21" ht="12.75">
      <c r="A106" s="555" t="s">
        <v>964</v>
      </c>
      <c r="B106" s="556" t="s">
        <v>1005</v>
      </c>
      <c r="C106" s="554">
        <v>0</v>
      </c>
      <c r="D106" s="706"/>
      <c r="E106" s="554"/>
      <c r="F106" s="554"/>
      <c r="G106" s="554"/>
      <c r="H106" s="554"/>
      <c r="I106" s="554"/>
      <c r="J106" s="554"/>
      <c r="K106" s="554"/>
      <c r="L106" s="554"/>
      <c r="M106" s="692"/>
      <c r="N106" s="786"/>
      <c r="O106" s="787">
        <f>+C106</f>
        <v>0</v>
      </c>
      <c r="P106" s="569"/>
      <c r="Q106" s="615"/>
      <c r="R106" s="569"/>
      <c r="S106" s="793" t="s">
        <v>925</v>
      </c>
      <c r="U106" s="669"/>
    </row>
    <row r="107" spans="1:21" ht="12.75">
      <c r="A107" s="555"/>
      <c r="B107" s="556" t="s">
        <v>522</v>
      </c>
      <c r="C107" s="554"/>
      <c r="D107" s="554">
        <f>-C106</f>
        <v>0</v>
      </c>
      <c r="E107" s="554"/>
      <c r="F107" s="554"/>
      <c r="G107" s="554"/>
      <c r="H107" s="554"/>
      <c r="I107" s="554"/>
      <c r="J107" s="554"/>
      <c r="K107" s="554"/>
      <c r="L107" s="554"/>
      <c r="M107" s="692"/>
      <c r="N107" s="786"/>
      <c r="O107" s="787">
        <f>+D107</f>
        <v>0</v>
      </c>
      <c r="P107" s="569"/>
      <c r="Q107" s="615"/>
      <c r="R107" s="569"/>
      <c r="U107" s="669"/>
    </row>
    <row r="108" spans="1:21" ht="12.75">
      <c r="A108" s="555"/>
      <c r="B108" s="556" t="s">
        <v>1004</v>
      </c>
      <c r="C108" s="554"/>
      <c r="D108" s="706"/>
      <c r="E108" s="554"/>
      <c r="F108" s="554"/>
      <c r="G108" s="554"/>
      <c r="H108" s="554"/>
      <c r="I108" s="554"/>
      <c r="J108" s="554"/>
      <c r="K108" s="554"/>
      <c r="L108" s="554"/>
      <c r="M108" s="692"/>
      <c r="N108" s="786"/>
      <c r="O108" s="787"/>
      <c r="P108" s="569"/>
      <c r="Q108" s="615"/>
      <c r="R108" s="569"/>
      <c r="U108" s="669"/>
    </row>
    <row r="109" spans="1:21" ht="12.75">
      <c r="A109" s="555"/>
      <c r="B109" s="556"/>
      <c r="C109" s="557"/>
      <c r="D109" s="558"/>
      <c r="E109" s="554"/>
      <c r="F109" s="554"/>
      <c r="G109" s="554"/>
      <c r="H109" s="554"/>
      <c r="I109" s="554"/>
      <c r="J109" s="554"/>
      <c r="K109" s="554"/>
      <c r="L109" s="554"/>
      <c r="M109" s="692"/>
      <c r="N109" s="786"/>
      <c r="O109" s="787"/>
      <c r="P109" s="569"/>
      <c r="Q109" s="615"/>
      <c r="R109" s="569"/>
      <c r="U109" s="669"/>
    </row>
    <row r="110" spans="1:21" ht="12.75">
      <c r="A110" s="555" t="s">
        <v>1127</v>
      </c>
      <c r="B110" s="556" t="s">
        <v>1102</v>
      </c>
      <c r="C110" s="557">
        <f>-FJK!H65</f>
        <v>153458</v>
      </c>
      <c r="D110" s="558"/>
      <c r="E110" s="554"/>
      <c r="F110" s="554"/>
      <c r="G110" s="554"/>
      <c r="H110" s="554"/>
      <c r="I110" s="554"/>
      <c r="J110" s="554"/>
      <c r="K110" s="554"/>
      <c r="L110" s="554"/>
      <c r="M110" s="692"/>
      <c r="N110" s="786"/>
      <c r="O110" s="787">
        <f>C110</f>
        <v>153458</v>
      </c>
      <c r="P110" s="569"/>
      <c r="Q110" s="615"/>
      <c r="R110" s="569"/>
      <c r="S110" s="793" t="s">
        <v>925</v>
      </c>
      <c r="U110" s="669"/>
    </row>
    <row r="111" spans="1:21" ht="12.75">
      <c r="A111" s="555"/>
      <c r="B111" s="556" t="s">
        <v>1103</v>
      </c>
      <c r="C111" s="557"/>
      <c r="D111" s="558">
        <f>-C110</f>
        <v>-153458</v>
      </c>
      <c r="E111" s="554"/>
      <c r="F111" s="554"/>
      <c r="G111" s="554"/>
      <c r="H111" s="554"/>
      <c r="I111" s="554"/>
      <c r="J111" s="554">
        <f>D111</f>
        <v>-153458</v>
      </c>
      <c r="K111" s="554"/>
      <c r="L111" s="554"/>
      <c r="M111" s="692"/>
      <c r="N111" s="786"/>
      <c r="O111" s="787"/>
      <c r="P111" s="569"/>
      <c r="Q111" s="615"/>
      <c r="R111" s="569"/>
      <c r="U111" s="669"/>
    </row>
    <row r="112" spans="1:21" ht="12.75">
      <c r="A112" s="555"/>
      <c r="B112" s="559" t="s">
        <v>1104</v>
      </c>
      <c r="C112" s="557"/>
      <c r="D112" s="558"/>
      <c r="E112" s="554"/>
      <c r="F112" s="554"/>
      <c r="G112" s="554"/>
      <c r="H112" s="554"/>
      <c r="I112" s="554"/>
      <c r="J112" s="554"/>
      <c r="K112" s="554"/>
      <c r="L112" s="554"/>
      <c r="M112" s="692"/>
      <c r="N112" s="786"/>
      <c r="O112" s="787"/>
      <c r="P112" s="569"/>
      <c r="Q112" s="615"/>
      <c r="R112" s="569"/>
      <c r="U112" s="669"/>
    </row>
    <row r="113" spans="1:21" ht="12.75">
      <c r="A113" s="555"/>
      <c r="B113" s="556"/>
      <c r="C113" s="557"/>
      <c r="D113" s="558"/>
      <c r="E113" s="554"/>
      <c r="F113" s="554"/>
      <c r="G113" s="554"/>
      <c r="H113" s="554"/>
      <c r="I113" s="554"/>
      <c r="J113" s="554"/>
      <c r="K113" s="554"/>
      <c r="L113" s="554"/>
      <c r="M113" s="692"/>
      <c r="N113" s="786"/>
      <c r="O113" s="787"/>
      <c r="P113" s="569"/>
      <c r="Q113" s="615"/>
      <c r="R113" s="569"/>
      <c r="U113" s="669"/>
    </row>
    <row r="114" spans="1:21" ht="12.75">
      <c r="A114" s="555" t="s">
        <v>1142</v>
      </c>
      <c r="B114" s="556" t="s">
        <v>1105</v>
      </c>
      <c r="C114" s="557">
        <f>-FJK!K65</f>
        <v>61383</v>
      </c>
      <c r="D114" s="558"/>
      <c r="E114" s="554"/>
      <c r="F114" s="554"/>
      <c r="G114" s="554">
        <f>C114</f>
        <v>61383</v>
      </c>
      <c r="H114" s="554"/>
      <c r="I114" s="554"/>
      <c r="J114" s="554"/>
      <c r="K114" s="554"/>
      <c r="L114" s="554"/>
      <c r="M114" s="692"/>
      <c r="N114" s="786"/>
      <c r="O114" s="787"/>
      <c r="P114" s="569"/>
      <c r="Q114" s="615"/>
      <c r="R114" s="569"/>
      <c r="S114" s="793" t="s">
        <v>925</v>
      </c>
      <c r="U114" s="669"/>
    </row>
    <row r="115" spans="1:21" ht="12.75">
      <c r="A115" s="555"/>
      <c r="B115" s="556" t="s">
        <v>428</v>
      </c>
      <c r="C115" s="557"/>
      <c r="D115" s="558">
        <f>-C114</f>
        <v>-61383</v>
      </c>
      <c r="E115" s="554"/>
      <c r="F115" s="554"/>
      <c r="G115" s="554"/>
      <c r="H115" s="554"/>
      <c r="I115" s="554"/>
      <c r="J115" s="554"/>
      <c r="K115" s="554"/>
      <c r="L115" s="554"/>
      <c r="M115" s="692"/>
      <c r="N115" s="786"/>
      <c r="O115" s="787"/>
      <c r="P115" s="569">
        <f>D115</f>
        <v>-61383</v>
      </c>
      <c r="Q115" s="615"/>
      <c r="R115" s="569"/>
      <c r="U115" s="669"/>
    </row>
    <row r="116" spans="1:21" ht="12.75">
      <c r="A116" s="555"/>
      <c r="B116" s="559" t="s">
        <v>1106</v>
      </c>
      <c r="C116" s="557"/>
      <c r="D116" s="558"/>
      <c r="E116" s="554"/>
      <c r="F116" s="554"/>
      <c r="G116" s="554"/>
      <c r="H116" s="554"/>
      <c r="I116" s="554"/>
      <c r="J116" s="554"/>
      <c r="K116" s="554"/>
      <c r="L116" s="554"/>
      <c r="M116" s="692"/>
      <c r="N116" s="786"/>
      <c r="O116" s="787"/>
      <c r="P116" s="569"/>
      <c r="Q116" s="615"/>
      <c r="R116" s="569"/>
      <c r="U116" s="669"/>
    </row>
    <row r="117" spans="1:21" ht="12.75">
      <c r="A117" s="555"/>
      <c r="B117" s="556"/>
      <c r="C117" s="557"/>
      <c r="D117" s="558"/>
      <c r="E117" s="554"/>
      <c r="F117" s="554"/>
      <c r="G117" s="554"/>
      <c r="H117" s="554"/>
      <c r="I117" s="554"/>
      <c r="J117" s="554"/>
      <c r="K117" s="554"/>
      <c r="L117" s="554"/>
      <c r="M117" s="692"/>
      <c r="N117" s="786"/>
      <c r="O117" s="787"/>
      <c r="P117" s="569"/>
      <c r="Q117" s="615"/>
      <c r="R117" s="569"/>
      <c r="U117" s="669"/>
    </row>
    <row r="118" spans="1:21" ht="12.75">
      <c r="A118" s="555" t="s">
        <v>1143</v>
      </c>
      <c r="B118" s="556" t="s">
        <v>306</v>
      </c>
      <c r="C118" s="557">
        <f>224756</f>
        <v>224756</v>
      </c>
      <c r="D118" s="558"/>
      <c r="E118" s="554"/>
      <c r="F118" s="554"/>
      <c r="G118" s="554"/>
      <c r="H118" s="554"/>
      <c r="I118" s="554"/>
      <c r="J118" s="554"/>
      <c r="K118" s="554"/>
      <c r="L118" s="554"/>
      <c r="M118" s="692"/>
      <c r="N118" s="786">
        <f>+C118</f>
        <v>224756</v>
      </c>
      <c r="O118" s="787"/>
      <c r="P118" s="569"/>
      <c r="Q118" s="615"/>
      <c r="R118" s="569"/>
      <c r="S118" s="793" t="s">
        <v>925</v>
      </c>
      <c r="U118" s="669"/>
    </row>
    <row r="119" spans="1:21" ht="12.75">
      <c r="A119" s="555"/>
      <c r="B119" s="556" t="s">
        <v>603</v>
      </c>
      <c r="C119" s="557">
        <v>229286</v>
      </c>
      <c r="D119" s="558"/>
      <c r="E119" s="554"/>
      <c r="F119" s="554"/>
      <c r="G119" s="554"/>
      <c r="H119" s="554"/>
      <c r="I119" s="554"/>
      <c r="J119" s="554"/>
      <c r="K119" s="554"/>
      <c r="L119" s="554"/>
      <c r="M119" s="692"/>
      <c r="N119" s="786">
        <f>C119</f>
        <v>229286</v>
      </c>
      <c r="O119" s="787"/>
      <c r="P119" s="569"/>
      <c r="Q119" s="615"/>
      <c r="R119" s="569"/>
      <c r="U119" s="669"/>
    </row>
    <row r="120" spans="1:21" ht="12.75">
      <c r="A120" s="555"/>
      <c r="B120" s="556" t="s">
        <v>752</v>
      </c>
      <c r="C120" s="557">
        <f>FJK!H88</f>
        <v>509341</v>
      </c>
      <c r="D120" s="558"/>
      <c r="E120" s="554"/>
      <c r="F120" s="554"/>
      <c r="G120" s="554"/>
      <c r="H120" s="554"/>
      <c r="I120" s="554"/>
      <c r="J120" s="554"/>
      <c r="K120" s="554"/>
      <c r="L120" s="554"/>
      <c r="M120" s="692">
        <f>C120</f>
        <v>509341</v>
      </c>
      <c r="N120" s="786"/>
      <c r="O120" s="787"/>
      <c r="P120" s="569"/>
      <c r="Q120" s="615"/>
      <c r="R120" s="569"/>
      <c r="U120" s="669"/>
    </row>
    <row r="121" spans="1:21" ht="12.75">
      <c r="A121" s="555"/>
      <c r="B121" s="556" t="s">
        <v>305</v>
      </c>
      <c r="C121" s="557"/>
      <c r="D121" s="558">
        <f>-C118</f>
        <v>-224756</v>
      </c>
      <c r="E121" s="554"/>
      <c r="F121" s="554"/>
      <c r="G121" s="554"/>
      <c r="H121" s="554">
        <f>D121</f>
        <v>-224756</v>
      </c>
      <c r="I121" s="554"/>
      <c r="J121" s="554"/>
      <c r="K121" s="554"/>
      <c r="L121" s="554"/>
      <c r="M121" s="692"/>
      <c r="N121" s="786"/>
      <c r="O121" s="787"/>
      <c r="P121" s="569"/>
      <c r="Q121" s="615"/>
      <c r="R121" s="569"/>
      <c r="U121" s="669"/>
    </row>
    <row r="122" spans="1:21" ht="12.75">
      <c r="A122" s="555"/>
      <c r="B122" s="556" t="s">
        <v>305</v>
      </c>
      <c r="C122" s="557"/>
      <c r="D122" s="558">
        <f>-C119</f>
        <v>-229286</v>
      </c>
      <c r="E122" s="554"/>
      <c r="F122" s="554"/>
      <c r="G122" s="554"/>
      <c r="H122" s="554">
        <f>D122</f>
        <v>-229286</v>
      </c>
      <c r="I122" s="554"/>
      <c r="J122" s="554"/>
      <c r="K122" s="554"/>
      <c r="L122" s="554"/>
      <c r="M122" s="692"/>
      <c r="N122" s="786"/>
      <c r="O122" s="787"/>
      <c r="P122" s="569"/>
      <c r="Q122" s="615"/>
      <c r="R122" s="569"/>
      <c r="U122" s="669"/>
    </row>
    <row r="123" spans="1:21" ht="12.75">
      <c r="A123" s="555"/>
      <c r="B123" s="556" t="s">
        <v>753</v>
      </c>
      <c r="C123" s="557"/>
      <c r="D123" s="558">
        <f>-C120</f>
        <v>-509341</v>
      </c>
      <c r="E123" s="554"/>
      <c r="F123" s="554"/>
      <c r="G123" s="554"/>
      <c r="H123" s="554">
        <f>D123</f>
        <v>-509341</v>
      </c>
      <c r="I123" s="554"/>
      <c r="J123" s="554"/>
      <c r="K123" s="554"/>
      <c r="L123" s="554"/>
      <c r="M123" s="692"/>
      <c r="N123" s="786"/>
      <c r="O123" s="787"/>
      <c r="P123" s="569"/>
      <c r="Q123" s="615"/>
      <c r="R123" s="569"/>
      <c r="U123" s="669"/>
    </row>
    <row r="124" spans="1:21" ht="12.75">
      <c r="A124" s="555"/>
      <c r="B124" s="559" t="s">
        <v>1115</v>
      </c>
      <c r="C124" s="557"/>
      <c r="D124" s="558"/>
      <c r="E124" s="554"/>
      <c r="F124" s="554"/>
      <c r="G124" s="554"/>
      <c r="H124" s="554"/>
      <c r="I124" s="554"/>
      <c r="J124" s="554"/>
      <c r="K124" s="554"/>
      <c r="L124" s="554"/>
      <c r="M124" s="692"/>
      <c r="N124" s="786"/>
      <c r="O124" s="787"/>
      <c r="P124" s="569"/>
      <c r="Q124" s="615"/>
      <c r="R124" s="569"/>
      <c r="U124" s="669"/>
    </row>
    <row r="125" spans="1:21" ht="12.75">
      <c r="A125" s="555"/>
      <c r="B125" s="556"/>
      <c r="C125" s="557"/>
      <c r="D125" s="558"/>
      <c r="E125" s="554"/>
      <c r="F125" s="554"/>
      <c r="G125" s="554"/>
      <c r="H125" s="554"/>
      <c r="I125" s="554"/>
      <c r="J125" s="554"/>
      <c r="K125" s="554"/>
      <c r="L125" s="554"/>
      <c r="M125" s="692"/>
      <c r="N125" s="786"/>
      <c r="O125" s="787"/>
      <c r="P125" s="569"/>
      <c r="Q125" s="615"/>
      <c r="R125" s="569"/>
      <c r="U125" s="669"/>
    </row>
    <row r="126" spans="1:21" ht="12.75">
      <c r="A126" s="555" t="s">
        <v>1144</v>
      </c>
      <c r="B126" s="556" t="s">
        <v>1116</v>
      </c>
      <c r="C126" s="557">
        <f>+FJK!H74</f>
        <v>1879786</v>
      </c>
      <c r="D126" s="558"/>
      <c r="E126" s="554"/>
      <c r="F126" s="554"/>
      <c r="G126" s="554"/>
      <c r="H126" s="554"/>
      <c r="I126" s="554"/>
      <c r="J126" s="554">
        <f>+C126</f>
        <v>1879786</v>
      </c>
      <c r="K126" s="554"/>
      <c r="L126" s="554"/>
      <c r="M126" s="692"/>
      <c r="N126" s="786"/>
      <c r="O126" s="787"/>
      <c r="P126" s="569"/>
      <c r="Q126" s="615"/>
      <c r="R126" s="569"/>
      <c r="S126" s="793" t="s">
        <v>925</v>
      </c>
      <c r="U126" s="669"/>
    </row>
    <row r="127" spans="1:21" ht="12.75">
      <c r="A127" s="555"/>
      <c r="B127" s="556" t="s">
        <v>968</v>
      </c>
      <c r="C127" s="557"/>
      <c r="D127" s="558">
        <f>-C126</f>
        <v>-1879786</v>
      </c>
      <c r="E127" s="554"/>
      <c r="F127" s="554"/>
      <c r="G127" s="554"/>
      <c r="H127" s="554"/>
      <c r="I127" s="554"/>
      <c r="J127" s="554"/>
      <c r="K127" s="795">
        <f>+D127</f>
        <v>-1879786</v>
      </c>
      <c r="L127" s="554"/>
      <c r="M127" s="692"/>
      <c r="N127" s="786"/>
      <c r="O127" s="787"/>
      <c r="P127" s="569"/>
      <c r="Q127" s="615"/>
      <c r="R127" s="569"/>
      <c r="U127" s="669"/>
    </row>
    <row r="128" spans="1:21" ht="12.75">
      <c r="A128" s="555"/>
      <c r="B128" s="559" t="s">
        <v>1117</v>
      </c>
      <c r="C128" s="557"/>
      <c r="D128" s="558"/>
      <c r="E128" s="554"/>
      <c r="F128" s="554"/>
      <c r="G128" s="554"/>
      <c r="H128" s="554"/>
      <c r="I128" s="554"/>
      <c r="J128" s="554"/>
      <c r="K128" s="554"/>
      <c r="L128" s="554"/>
      <c r="M128" s="692"/>
      <c r="N128" s="786"/>
      <c r="O128" s="787"/>
      <c r="P128" s="569"/>
      <c r="Q128" s="615"/>
      <c r="R128" s="569"/>
      <c r="U128" s="669"/>
    </row>
    <row r="129" spans="1:21" ht="12.75">
      <c r="A129" s="555"/>
      <c r="B129" s="559"/>
      <c r="C129" s="695"/>
      <c r="D129" s="558"/>
      <c r="E129" s="554"/>
      <c r="F129" s="554"/>
      <c r="G129" s="554"/>
      <c r="H129" s="554"/>
      <c r="I129" s="554"/>
      <c r="J129" s="554"/>
      <c r="K129" s="554"/>
      <c r="L129" s="554"/>
      <c r="M129" s="692"/>
      <c r="N129" s="786"/>
      <c r="O129" s="787"/>
      <c r="P129" s="569"/>
      <c r="Q129" s="615"/>
      <c r="R129" s="569"/>
      <c r="U129" s="669"/>
    </row>
    <row r="130" spans="1:21" ht="12.75">
      <c r="A130" s="555" t="s">
        <v>1145</v>
      </c>
      <c r="B130" s="556" t="s">
        <v>1118</v>
      </c>
      <c r="C130" s="557">
        <f>+FJK!H77</f>
        <v>751914.4</v>
      </c>
      <c r="D130" s="558"/>
      <c r="E130" s="554"/>
      <c r="F130" s="554"/>
      <c r="G130" s="554">
        <f>C130-K130</f>
        <v>377508.4</v>
      </c>
      <c r="H130" s="554"/>
      <c r="I130" s="554"/>
      <c r="J130" s="554"/>
      <c r="K130" s="554">
        <v>374406</v>
      </c>
      <c r="L130" s="554"/>
      <c r="M130" s="692">
        <v>0</v>
      </c>
      <c r="N130" s="786"/>
      <c r="O130" s="787"/>
      <c r="P130" s="569"/>
      <c r="Q130" s="615"/>
      <c r="R130" s="569"/>
      <c r="S130" s="793" t="s">
        <v>925</v>
      </c>
      <c r="U130" s="669"/>
    </row>
    <row r="131" spans="1:21" ht="12.75">
      <c r="A131" s="555"/>
      <c r="B131" s="556" t="s">
        <v>369</v>
      </c>
      <c r="C131" s="557"/>
      <c r="D131" s="558">
        <f>-C130</f>
        <v>-751914.4</v>
      </c>
      <c r="E131" s="554"/>
      <c r="F131" s="554"/>
      <c r="G131" s="554">
        <f>+D131</f>
        <v>-751914.4</v>
      </c>
      <c r="H131" s="554"/>
      <c r="I131" s="554"/>
      <c r="J131" s="554"/>
      <c r="K131" s="554"/>
      <c r="L131" s="554"/>
      <c r="M131" s="692"/>
      <c r="N131" s="786"/>
      <c r="O131" s="787"/>
      <c r="P131" s="569"/>
      <c r="Q131" s="615"/>
      <c r="R131" s="569"/>
      <c r="U131" s="669"/>
    </row>
    <row r="132" spans="1:21" ht="12.75">
      <c r="A132" s="555"/>
      <c r="B132" s="559" t="s">
        <v>1119</v>
      </c>
      <c r="C132" s="557"/>
      <c r="D132" s="558"/>
      <c r="E132" s="554"/>
      <c r="F132" s="554"/>
      <c r="G132" s="554"/>
      <c r="H132" s="554"/>
      <c r="I132" s="554"/>
      <c r="J132" s="554"/>
      <c r="K132" s="554"/>
      <c r="L132" s="554"/>
      <c r="M132" s="692"/>
      <c r="N132" s="786"/>
      <c r="O132" s="787"/>
      <c r="P132" s="569"/>
      <c r="Q132" s="615"/>
      <c r="R132" s="569"/>
      <c r="U132" s="669"/>
    </row>
    <row r="133" spans="1:21" ht="12.75">
      <c r="A133" s="555"/>
      <c r="B133" s="556"/>
      <c r="C133" s="557"/>
      <c r="D133" s="558"/>
      <c r="E133" s="554"/>
      <c r="F133" s="554"/>
      <c r="G133" s="554"/>
      <c r="H133" s="554"/>
      <c r="I133" s="554"/>
      <c r="J133" s="554"/>
      <c r="K133" s="554"/>
      <c r="L133" s="554"/>
      <c r="M133" s="692"/>
      <c r="N133" s="786"/>
      <c r="O133" s="787"/>
      <c r="P133" s="569"/>
      <c r="Q133" s="615"/>
      <c r="R133" s="569"/>
      <c r="U133" s="669"/>
    </row>
    <row r="134" spans="1:21" ht="12.75">
      <c r="A134" s="555" t="s">
        <v>1120</v>
      </c>
      <c r="B134" s="556" t="s">
        <v>1084</v>
      </c>
      <c r="C134" s="557">
        <v>120000</v>
      </c>
      <c r="D134" s="558"/>
      <c r="E134" s="554"/>
      <c r="F134" s="554"/>
      <c r="G134" s="554"/>
      <c r="H134" s="554"/>
      <c r="I134" s="554"/>
      <c r="J134" s="554"/>
      <c r="K134" s="554"/>
      <c r="L134" s="554"/>
      <c r="M134" s="692"/>
      <c r="N134" s="786"/>
      <c r="O134" s="787">
        <f>+C134</f>
        <v>120000</v>
      </c>
      <c r="P134" s="569"/>
      <c r="Q134" s="615"/>
      <c r="R134" s="569"/>
      <c r="S134" s="793" t="s">
        <v>925</v>
      </c>
      <c r="U134" s="669"/>
    </row>
    <row r="135" spans="1:21" ht="12.75">
      <c r="A135" s="555"/>
      <c r="B135" s="556" t="s">
        <v>1085</v>
      </c>
      <c r="C135" s="557"/>
      <c r="D135" s="558">
        <v>-86400</v>
      </c>
      <c r="E135" s="554"/>
      <c r="F135" s="554"/>
      <c r="G135" s="554"/>
      <c r="H135" s="554"/>
      <c r="I135" s="554"/>
      <c r="J135" s="554"/>
      <c r="K135" s="554"/>
      <c r="L135" s="554"/>
      <c r="M135" s="692">
        <f>D135</f>
        <v>-86400</v>
      </c>
      <c r="N135" s="786"/>
      <c r="O135" s="787"/>
      <c r="P135" s="569"/>
      <c r="Q135" s="615"/>
      <c r="R135" s="569"/>
      <c r="U135" s="669"/>
    </row>
    <row r="136" spans="1:21" ht="12.75">
      <c r="A136" s="555"/>
      <c r="B136" s="556" t="s">
        <v>829</v>
      </c>
      <c r="C136" s="557"/>
      <c r="D136" s="558">
        <v>-33600</v>
      </c>
      <c r="E136" s="554"/>
      <c r="F136" s="554"/>
      <c r="G136" s="554"/>
      <c r="H136" s="554"/>
      <c r="I136" s="554"/>
      <c r="J136" s="554"/>
      <c r="K136" s="554"/>
      <c r="L136" s="554"/>
      <c r="M136" s="692"/>
      <c r="N136" s="786"/>
      <c r="O136" s="787">
        <f>+D136</f>
        <v>-33600</v>
      </c>
      <c r="P136" s="569"/>
      <c r="Q136" s="615"/>
      <c r="R136" s="569"/>
      <c r="U136" s="669"/>
    </row>
    <row r="137" spans="1:21" ht="12.75">
      <c r="A137" s="555"/>
      <c r="B137" s="556" t="s">
        <v>755</v>
      </c>
      <c r="C137" s="557"/>
      <c r="D137" s="558"/>
      <c r="E137" s="554"/>
      <c r="F137" s="554"/>
      <c r="G137" s="554"/>
      <c r="H137" s="554"/>
      <c r="I137" s="554"/>
      <c r="J137" s="554"/>
      <c r="K137" s="554"/>
      <c r="L137" s="554"/>
      <c r="M137" s="692"/>
      <c r="N137" s="786"/>
      <c r="O137" s="787"/>
      <c r="P137" s="569"/>
      <c r="Q137" s="615"/>
      <c r="R137" s="569"/>
      <c r="U137" s="669"/>
    </row>
    <row r="138" spans="1:21" ht="12.75">
      <c r="A138" s="555"/>
      <c r="B138" s="556"/>
      <c r="C138" s="557"/>
      <c r="D138" s="558"/>
      <c r="E138" s="554"/>
      <c r="F138" s="554"/>
      <c r="G138" s="554"/>
      <c r="H138" s="554"/>
      <c r="I138" s="554"/>
      <c r="J138" s="554"/>
      <c r="K138" s="554"/>
      <c r="L138" s="554"/>
      <c r="M138" s="692"/>
      <c r="N138" s="786"/>
      <c r="O138" s="787"/>
      <c r="P138" s="569"/>
      <c r="Q138" s="615"/>
      <c r="R138" s="569"/>
      <c r="U138" s="669"/>
    </row>
    <row r="139" spans="1:21" ht="12.75">
      <c r="A139" s="555" t="s">
        <v>1121</v>
      </c>
      <c r="B139" s="556" t="s">
        <v>428</v>
      </c>
      <c r="C139" s="557">
        <v>57600</v>
      </c>
      <c r="D139" s="558"/>
      <c r="E139" s="554"/>
      <c r="F139" s="554"/>
      <c r="G139" s="554"/>
      <c r="H139" s="554"/>
      <c r="I139" s="554"/>
      <c r="J139" s="554"/>
      <c r="K139" s="554"/>
      <c r="L139" s="554"/>
      <c r="M139" s="692"/>
      <c r="N139" s="786"/>
      <c r="O139" s="787"/>
      <c r="P139" s="569">
        <f>C139</f>
        <v>57600</v>
      </c>
      <c r="Q139" s="615"/>
      <c r="R139" s="569"/>
      <c r="S139" s="793" t="s">
        <v>925</v>
      </c>
      <c r="U139" s="669"/>
    </row>
    <row r="140" spans="1:21" ht="12.75">
      <c r="A140" s="555"/>
      <c r="B140" s="556" t="s">
        <v>754</v>
      </c>
      <c r="C140" s="557"/>
      <c r="D140" s="558">
        <f>-C139</f>
        <v>-57600</v>
      </c>
      <c r="E140" s="554"/>
      <c r="F140" s="554"/>
      <c r="G140" s="554"/>
      <c r="H140" s="554"/>
      <c r="I140" s="554"/>
      <c r="J140" s="554"/>
      <c r="K140" s="554"/>
      <c r="L140" s="554"/>
      <c r="M140" s="692">
        <f>D140</f>
        <v>-57600</v>
      </c>
      <c r="N140" s="786"/>
      <c r="O140" s="787"/>
      <c r="P140" s="569"/>
      <c r="Q140" s="615"/>
      <c r="R140" s="569"/>
      <c r="U140" s="669"/>
    </row>
    <row r="141" spans="1:21" ht="12.75">
      <c r="A141" s="555"/>
      <c r="B141" s="556" t="s">
        <v>1122</v>
      </c>
      <c r="C141" s="557"/>
      <c r="D141" s="558"/>
      <c r="E141" s="554"/>
      <c r="F141" s="554"/>
      <c r="G141" s="554"/>
      <c r="H141" s="554"/>
      <c r="I141" s="554"/>
      <c r="J141" s="554"/>
      <c r="K141" s="554"/>
      <c r="L141" s="554"/>
      <c r="M141" s="692"/>
      <c r="N141" s="786"/>
      <c r="O141" s="787"/>
      <c r="P141" s="569"/>
      <c r="Q141" s="615"/>
      <c r="R141" s="569"/>
      <c r="U141" s="669"/>
    </row>
    <row r="142" spans="1:21" ht="12.75">
      <c r="A142" s="555"/>
      <c r="B142" s="556"/>
      <c r="C142" s="557"/>
      <c r="D142" s="558"/>
      <c r="E142" s="554"/>
      <c r="F142" s="554"/>
      <c r="G142" s="554"/>
      <c r="H142" s="554"/>
      <c r="I142" s="554"/>
      <c r="J142" s="554"/>
      <c r="K142" s="554"/>
      <c r="L142" s="554"/>
      <c r="M142" s="692"/>
      <c r="N142" s="786"/>
      <c r="O142" s="787"/>
      <c r="P142" s="569"/>
      <c r="Q142" s="615"/>
      <c r="R142" s="569"/>
      <c r="U142" s="669"/>
    </row>
    <row r="143" spans="1:21" ht="12.75">
      <c r="A143" s="555" t="s">
        <v>1123</v>
      </c>
      <c r="B143" s="556" t="s">
        <v>1124</v>
      </c>
      <c r="C143" s="557">
        <v>0</v>
      </c>
      <c r="D143" s="558"/>
      <c r="E143" s="554"/>
      <c r="F143" s="554"/>
      <c r="G143" s="554"/>
      <c r="H143" s="554"/>
      <c r="I143" s="554">
        <f>C143</f>
        <v>0</v>
      </c>
      <c r="J143" s="554"/>
      <c r="K143" s="554"/>
      <c r="L143" s="554"/>
      <c r="M143" s="692"/>
      <c r="N143" s="786"/>
      <c r="O143" s="787"/>
      <c r="P143" s="569"/>
      <c r="Q143" s="615"/>
      <c r="R143" s="569"/>
      <c r="U143" s="669"/>
    </row>
    <row r="144" spans="1:21" ht="12.75">
      <c r="A144" s="555"/>
      <c r="B144" s="556" t="s">
        <v>1125</v>
      </c>
      <c r="C144" s="557"/>
      <c r="D144" s="558"/>
      <c r="E144" s="554"/>
      <c r="F144" s="554"/>
      <c r="G144" s="554"/>
      <c r="H144" s="554"/>
      <c r="I144" s="554"/>
      <c r="J144" s="554"/>
      <c r="K144" s="554"/>
      <c r="L144" s="554"/>
      <c r="M144" s="692"/>
      <c r="N144" s="786"/>
      <c r="O144" s="787"/>
      <c r="P144" s="569"/>
      <c r="Q144" s="615"/>
      <c r="R144" s="569"/>
      <c r="U144" s="669"/>
    </row>
    <row r="145" spans="1:21" ht="12.75">
      <c r="A145" s="555"/>
      <c r="B145" s="556" t="s">
        <v>1126</v>
      </c>
      <c r="C145" s="557"/>
      <c r="D145" s="558">
        <f>-C143</f>
        <v>0</v>
      </c>
      <c r="E145" s="554"/>
      <c r="F145" s="554"/>
      <c r="G145" s="554"/>
      <c r="H145" s="554"/>
      <c r="I145" s="554"/>
      <c r="J145" s="554"/>
      <c r="K145" s="554"/>
      <c r="L145" s="554"/>
      <c r="M145" s="692"/>
      <c r="N145" s="786">
        <f>D145</f>
        <v>0</v>
      </c>
      <c r="O145" s="787"/>
      <c r="P145" s="569"/>
      <c r="Q145" s="615"/>
      <c r="R145" s="569"/>
      <c r="U145" s="669"/>
    </row>
    <row r="146" spans="1:21" ht="12.75">
      <c r="A146" s="555"/>
      <c r="B146" s="556" t="s">
        <v>41</v>
      </c>
      <c r="C146" s="557"/>
      <c r="D146" s="558"/>
      <c r="E146" s="554"/>
      <c r="F146" s="554"/>
      <c r="G146" s="554"/>
      <c r="H146" s="554"/>
      <c r="I146" s="554"/>
      <c r="J146" s="554"/>
      <c r="K146" s="554"/>
      <c r="L146" s="554"/>
      <c r="M146" s="692"/>
      <c r="N146" s="786"/>
      <c r="O146" s="787"/>
      <c r="P146" s="569"/>
      <c r="Q146" s="615"/>
      <c r="R146" s="569"/>
      <c r="U146" s="669"/>
    </row>
    <row r="147" spans="1:21" ht="12.75">
      <c r="A147" s="555"/>
      <c r="B147" s="556"/>
      <c r="C147" s="557"/>
      <c r="D147" s="558"/>
      <c r="E147" s="554"/>
      <c r="F147" s="554"/>
      <c r="G147" s="554"/>
      <c r="H147" s="554"/>
      <c r="I147" s="554"/>
      <c r="J147" s="554"/>
      <c r="K147" s="554"/>
      <c r="L147" s="554"/>
      <c r="M147" s="692"/>
      <c r="N147" s="786"/>
      <c r="O147" s="787"/>
      <c r="P147" s="569"/>
      <c r="Q147" s="615"/>
      <c r="R147" s="569"/>
      <c r="U147" s="669"/>
    </row>
    <row r="148" spans="1:21" ht="12.75">
      <c r="A148" s="555" t="s">
        <v>1132</v>
      </c>
      <c r="B148" s="556" t="s">
        <v>1235</v>
      </c>
      <c r="C148" s="557">
        <f>37901229+3026225+15438773-13997631+2350725+4380316+1179411</f>
        <v>50279048</v>
      </c>
      <c r="D148" s="558"/>
      <c r="E148" s="554"/>
      <c r="F148" s="554"/>
      <c r="G148" s="554"/>
      <c r="H148" s="554"/>
      <c r="I148" s="554">
        <f>+C148</f>
        <v>50279048</v>
      </c>
      <c r="J148" s="554"/>
      <c r="K148" s="554"/>
      <c r="L148" s="554"/>
      <c r="M148" s="692"/>
      <c r="N148" s="786"/>
      <c r="O148" s="787"/>
      <c r="P148" s="569"/>
      <c r="Q148" s="615"/>
      <c r="R148" s="569"/>
      <c r="U148" s="669"/>
    </row>
    <row r="149" spans="1:21" ht="12.75">
      <c r="A149" s="555"/>
      <c r="B149" s="556" t="s">
        <v>1236</v>
      </c>
      <c r="C149" s="557"/>
      <c r="D149" s="558">
        <f>-C148</f>
        <v>-50279048</v>
      </c>
      <c r="E149" s="554"/>
      <c r="F149" s="554"/>
      <c r="G149" s="554"/>
      <c r="H149" s="554"/>
      <c r="I149" s="554"/>
      <c r="J149" s="554"/>
      <c r="K149" s="554"/>
      <c r="L149" s="554"/>
      <c r="M149" s="692"/>
      <c r="N149" s="786">
        <f>+D149</f>
        <v>-50279048</v>
      </c>
      <c r="O149" s="787"/>
      <c r="P149" s="569"/>
      <c r="Q149" s="615"/>
      <c r="R149" s="569"/>
      <c r="U149" s="669"/>
    </row>
    <row r="150" spans="1:21" ht="12.75">
      <c r="A150" s="555"/>
      <c r="B150" s="556" t="s">
        <v>1234</v>
      </c>
      <c r="C150" s="557"/>
      <c r="D150" s="558"/>
      <c r="E150" s="554"/>
      <c r="F150" s="554"/>
      <c r="G150" s="554"/>
      <c r="H150" s="554"/>
      <c r="I150" s="554"/>
      <c r="J150" s="554"/>
      <c r="K150" s="554"/>
      <c r="L150" s="554"/>
      <c r="M150" s="692"/>
      <c r="N150" s="786"/>
      <c r="O150" s="787"/>
      <c r="P150" s="569"/>
      <c r="Q150" s="615"/>
      <c r="R150" s="569"/>
      <c r="U150" s="669"/>
    </row>
    <row r="151" spans="1:21" ht="12.75">
      <c r="A151" s="555"/>
      <c r="B151" s="556"/>
      <c r="C151" s="557"/>
      <c r="D151" s="558"/>
      <c r="E151" s="554"/>
      <c r="F151" s="554"/>
      <c r="G151" s="554"/>
      <c r="H151" s="554"/>
      <c r="I151" s="554"/>
      <c r="J151" s="554"/>
      <c r="K151" s="554"/>
      <c r="L151" s="554"/>
      <c r="M151" s="692"/>
      <c r="N151" s="786"/>
      <c r="O151" s="787"/>
      <c r="P151" s="569"/>
      <c r="Q151" s="615"/>
      <c r="R151" s="569"/>
      <c r="U151" s="669"/>
    </row>
    <row r="152" spans="1:21" ht="12.75">
      <c r="A152" s="555" t="s">
        <v>1141</v>
      </c>
      <c r="B152" s="556" t="s">
        <v>1133</v>
      </c>
      <c r="C152" s="557">
        <f>2000000+1817550-260730+2530</f>
        <v>3559350</v>
      </c>
      <c r="D152" s="557"/>
      <c r="E152" s="554"/>
      <c r="F152" s="554"/>
      <c r="G152" s="554"/>
      <c r="H152" s="554"/>
      <c r="I152" s="554">
        <f>+C152</f>
        <v>3559350</v>
      </c>
      <c r="J152" s="554"/>
      <c r="K152" s="554"/>
      <c r="L152" s="554"/>
      <c r="M152" s="692"/>
      <c r="N152" s="786"/>
      <c r="O152" s="787"/>
      <c r="P152" s="569"/>
      <c r="Q152" s="615"/>
      <c r="R152" s="569"/>
      <c r="U152" s="669"/>
    </row>
    <row r="153" spans="1:21" ht="12.75">
      <c r="A153" s="555"/>
      <c r="B153" s="556" t="s">
        <v>1134</v>
      </c>
      <c r="C153" s="557"/>
      <c r="D153" s="557">
        <f>-C152</f>
        <v>-3559350</v>
      </c>
      <c r="E153" s="554"/>
      <c r="F153" s="554"/>
      <c r="G153" s="554"/>
      <c r="H153" s="554"/>
      <c r="I153" s="554"/>
      <c r="J153" s="554"/>
      <c r="K153" s="554"/>
      <c r="L153" s="554"/>
      <c r="M153" s="692"/>
      <c r="N153" s="786">
        <f>+D153</f>
        <v>-3559350</v>
      </c>
      <c r="O153" s="787"/>
      <c r="P153" s="569"/>
      <c r="Q153" s="615"/>
      <c r="R153" s="569"/>
      <c r="U153" s="669"/>
    </row>
    <row r="154" spans="1:21" ht="12.75">
      <c r="A154" s="555"/>
      <c r="B154" s="556" t="s">
        <v>1237</v>
      </c>
      <c r="C154" s="557"/>
      <c r="D154" s="558"/>
      <c r="E154" s="554"/>
      <c r="F154" s="554"/>
      <c r="G154" s="554"/>
      <c r="H154" s="554"/>
      <c r="I154" s="554"/>
      <c r="J154" s="554"/>
      <c r="K154" s="554"/>
      <c r="L154" s="554"/>
      <c r="M154" s="692"/>
      <c r="N154" s="786"/>
      <c r="O154" s="787"/>
      <c r="P154" s="569"/>
      <c r="Q154" s="615"/>
      <c r="R154" s="569"/>
      <c r="U154" s="669"/>
    </row>
    <row r="155" spans="1:21" ht="12.75">
      <c r="A155" s="555"/>
      <c r="B155" s="556"/>
      <c r="C155" s="557"/>
      <c r="D155" s="557"/>
      <c r="E155" s="554"/>
      <c r="F155" s="554"/>
      <c r="G155" s="554"/>
      <c r="H155" s="554"/>
      <c r="I155" s="554"/>
      <c r="J155" s="554"/>
      <c r="K155" s="554"/>
      <c r="L155" s="554"/>
      <c r="M155" s="692"/>
      <c r="N155" s="786"/>
      <c r="O155" s="787"/>
      <c r="P155" s="569"/>
      <c r="Q155" s="615"/>
      <c r="R155" s="569"/>
      <c r="U155" s="669"/>
    </row>
    <row r="156" spans="1:21" ht="12.75">
      <c r="A156" s="555" t="s">
        <v>1301</v>
      </c>
      <c r="B156" s="556" t="s">
        <v>1353</v>
      </c>
      <c r="C156" s="557">
        <f>+disposal!D45+disposal!D19</f>
        <v>3044518.0999999996</v>
      </c>
      <c r="D156" s="557"/>
      <c r="E156" s="554"/>
      <c r="F156" s="554"/>
      <c r="G156" s="554"/>
      <c r="H156" s="554"/>
      <c r="I156" s="554"/>
      <c r="J156" s="554"/>
      <c r="K156" s="554"/>
      <c r="L156" s="554"/>
      <c r="M156" s="692"/>
      <c r="N156" s="786">
        <f>+C156</f>
        <v>3044518.0999999996</v>
      </c>
      <c r="O156" s="787"/>
      <c r="P156" s="569"/>
      <c r="Q156" s="615"/>
      <c r="R156" s="569"/>
      <c r="S156" s="793" t="s">
        <v>751</v>
      </c>
      <c r="U156" s="669"/>
    </row>
    <row r="157" spans="1:21" ht="12.75">
      <c r="A157" s="555"/>
      <c r="B157" s="556" t="s">
        <v>561</v>
      </c>
      <c r="C157" s="557"/>
      <c r="D157" s="558">
        <f>-C156</f>
        <v>-3044518.0999999996</v>
      </c>
      <c r="E157" s="554"/>
      <c r="F157" s="554"/>
      <c r="G157" s="554"/>
      <c r="H157" s="554"/>
      <c r="I157" s="554"/>
      <c r="J157" s="554"/>
      <c r="K157" s="554"/>
      <c r="L157" s="554"/>
      <c r="M157" s="797">
        <f>+D157</f>
        <v>-3044518.0999999996</v>
      </c>
      <c r="N157" s="786"/>
      <c r="O157" s="787"/>
      <c r="P157" s="569"/>
      <c r="Q157" s="615"/>
      <c r="R157" s="569"/>
      <c r="U157" s="669"/>
    </row>
    <row r="158" spans="1:21" ht="12.75">
      <c r="A158" s="555"/>
      <c r="B158" s="556" t="s">
        <v>37</v>
      </c>
      <c r="C158" s="557"/>
      <c r="D158" s="558"/>
      <c r="E158" s="554"/>
      <c r="F158" s="554"/>
      <c r="G158" s="554"/>
      <c r="H158" s="554"/>
      <c r="I158" s="554"/>
      <c r="J158" s="554"/>
      <c r="K158" s="554"/>
      <c r="L158" s="554"/>
      <c r="M158" s="692"/>
      <c r="N158" s="786"/>
      <c r="O158" s="787"/>
      <c r="P158" s="569"/>
      <c r="Q158" s="615"/>
      <c r="R158" s="569"/>
      <c r="U158" s="669"/>
    </row>
    <row r="159" spans="1:21" ht="12.75">
      <c r="A159" s="555"/>
      <c r="B159" s="556"/>
      <c r="C159" s="557"/>
      <c r="D159" s="558"/>
      <c r="E159" s="554"/>
      <c r="F159" s="554"/>
      <c r="G159" s="554"/>
      <c r="H159" s="554"/>
      <c r="I159" s="554"/>
      <c r="J159" s="554"/>
      <c r="K159" s="554"/>
      <c r="L159" s="554"/>
      <c r="M159" s="692"/>
      <c r="N159" s="786"/>
      <c r="O159" s="787"/>
      <c r="P159" s="569"/>
      <c r="Q159" s="615"/>
      <c r="R159" s="569"/>
      <c r="U159" s="669"/>
    </row>
    <row r="160" spans="1:21" ht="12.75">
      <c r="A160" s="555" t="s">
        <v>1637</v>
      </c>
      <c r="B160" s="556" t="s">
        <v>608</v>
      </c>
      <c r="C160" s="557">
        <f>-SUM(D161:D162)</f>
        <v>1792698</v>
      </c>
      <c r="D160" s="558"/>
      <c r="E160" s="554"/>
      <c r="F160" s="554"/>
      <c r="G160" s="554"/>
      <c r="H160" s="554"/>
      <c r="I160" s="554"/>
      <c r="J160" s="554"/>
      <c r="K160" s="554"/>
      <c r="L160" s="554"/>
      <c r="M160" s="692"/>
      <c r="N160" s="786">
        <f>+C160</f>
        <v>1792698</v>
      </c>
      <c r="O160" s="787"/>
      <c r="P160" s="569"/>
      <c r="Q160" s="615"/>
      <c r="R160" s="569"/>
      <c r="U160" s="669"/>
    </row>
    <row r="161" spans="1:21" ht="12.75">
      <c r="A161" s="555"/>
      <c r="B161" s="556" t="s">
        <v>6</v>
      </c>
      <c r="C161" s="557"/>
      <c r="D161" s="558">
        <f>ROUND(-reserve!D86*reserve!B86,0)</f>
        <v>-173247</v>
      </c>
      <c r="E161" s="554"/>
      <c r="F161" s="554"/>
      <c r="G161" s="554"/>
      <c r="H161" s="554"/>
      <c r="I161" s="554"/>
      <c r="J161" s="554"/>
      <c r="K161" s="554"/>
      <c r="L161" s="554"/>
      <c r="M161" s="692"/>
      <c r="N161" s="786">
        <f>+D161</f>
        <v>-173247</v>
      </c>
      <c r="O161" s="787"/>
      <c r="P161" s="569"/>
      <c r="Q161" s="615"/>
      <c r="R161" s="569"/>
      <c r="U161" s="669"/>
    </row>
    <row r="162" spans="1:21" ht="12.75">
      <c r="A162" s="555"/>
      <c r="B162" s="556" t="s">
        <v>5</v>
      </c>
      <c r="C162" s="557"/>
      <c r="D162" s="558">
        <f>ROUND(-reserve!F86-reserve!F83,0)</f>
        <v>-1619451</v>
      </c>
      <c r="E162" s="554"/>
      <c r="F162" s="554"/>
      <c r="G162" s="554"/>
      <c r="H162" s="554"/>
      <c r="I162" s="554"/>
      <c r="J162" s="554"/>
      <c r="K162" s="554"/>
      <c r="L162" s="554">
        <f>+D162</f>
        <v>-1619451</v>
      </c>
      <c r="M162" s="692"/>
      <c r="N162" s="786"/>
      <c r="O162" s="787"/>
      <c r="P162" s="569"/>
      <c r="Q162" s="615"/>
      <c r="R162" s="569"/>
      <c r="U162" s="669"/>
    </row>
    <row r="163" spans="1:21" ht="12.75">
      <c r="A163" s="555"/>
      <c r="B163" s="556" t="s">
        <v>88</v>
      </c>
      <c r="C163" s="557"/>
      <c r="D163" s="558"/>
      <c r="E163" s="554"/>
      <c r="F163" s="554"/>
      <c r="G163" s="554"/>
      <c r="H163" s="554"/>
      <c r="I163" s="554"/>
      <c r="J163" s="554"/>
      <c r="K163" s="554"/>
      <c r="L163" s="554"/>
      <c r="M163" s="692"/>
      <c r="N163" s="786"/>
      <c r="O163" s="787"/>
      <c r="P163" s="569"/>
      <c r="Q163" s="615"/>
      <c r="R163" s="569"/>
      <c r="U163" s="669"/>
    </row>
    <row r="164" spans="1:21" ht="12.75">
      <c r="A164" s="555"/>
      <c r="B164" s="556"/>
      <c r="C164" s="557"/>
      <c r="D164" s="558"/>
      <c r="E164" s="554"/>
      <c r="F164" s="554"/>
      <c r="G164" s="554"/>
      <c r="H164" s="554"/>
      <c r="I164" s="554"/>
      <c r="J164" s="554"/>
      <c r="K164" s="554"/>
      <c r="L164" s="554"/>
      <c r="M164" s="692"/>
      <c r="N164" s="786"/>
      <c r="O164" s="787"/>
      <c r="P164" s="569"/>
      <c r="Q164" s="615"/>
      <c r="R164" s="569"/>
      <c r="U164" s="669"/>
    </row>
    <row r="165" spans="1:21" ht="12.75">
      <c r="A165" s="555"/>
      <c r="B165" s="556"/>
      <c r="C165" s="557"/>
      <c r="D165" s="558"/>
      <c r="E165" s="554"/>
      <c r="F165" s="554"/>
      <c r="G165" s="554"/>
      <c r="H165" s="554"/>
      <c r="I165" s="554"/>
      <c r="J165" s="554"/>
      <c r="K165" s="554"/>
      <c r="L165" s="554"/>
      <c r="M165" s="692"/>
      <c r="N165" s="786"/>
      <c r="O165" s="787"/>
      <c r="P165" s="569"/>
      <c r="Q165" s="615"/>
      <c r="R165" s="569"/>
      <c r="U165" s="669"/>
    </row>
    <row r="166" spans="1:21" ht="12.75">
      <c r="A166" s="555" t="s">
        <v>81</v>
      </c>
      <c r="B166" s="556" t="s">
        <v>83</v>
      </c>
      <c r="C166" s="557">
        <f>13997631</f>
        <v>13997631</v>
      </c>
      <c r="D166" s="558"/>
      <c r="E166" s="554"/>
      <c r="F166" s="554"/>
      <c r="G166" s="554"/>
      <c r="H166" s="554"/>
      <c r="I166" s="554"/>
      <c r="J166" s="554"/>
      <c r="K166" s="554"/>
      <c r="L166" s="554"/>
      <c r="M166" s="797">
        <f>+C166</f>
        <v>13997631</v>
      </c>
      <c r="N166" s="786"/>
      <c r="O166" s="787"/>
      <c r="P166" s="569"/>
      <c r="Q166" s="615"/>
      <c r="R166" s="569"/>
      <c r="S166" s="793" t="s">
        <v>751</v>
      </c>
      <c r="U166" s="669"/>
    </row>
    <row r="167" spans="1:21" ht="12.75">
      <c r="A167" s="555"/>
      <c r="B167" s="556" t="s">
        <v>84</v>
      </c>
      <c r="C167" s="557"/>
      <c r="D167" s="558">
        <f>-C166</f>
        <v>-13997631</v>
      </c>
      <c r="E167" s="554"/>
      <c r="F167" s="554"/>
      <c r="G167" s="554"/>
      <c r="H167" s="554"/>
      <c r="I167" s="554"/>
      <c r="J167" s="554"/>
      <c r="K167" s="554"/>
      <c r="L167" s="554"/>
      <c r="M167" s="692"/>
      <c r="N167" s="786">
        <f>+D167</f>
        <v>-13997631</v>
      </c>
      <c r="O167" s="787"/>
      <c r="P167" s="569"/>
      <c r="Q167" s="615"/>
      <c r="R167" s="569"/>
      <c r="U167" s="669"/>
    </row>
    <row r="168" spans="1:21" ht="12.75">
      <c r="A168" s="555"/>
      <c r="B168" s="556" t="s">
        <v>1234</v>
      </c>
      <c r="C168" s="557"/>
      <c r="D168" s="558"/>
      <c r="E168" s="554"/>
      <c r="F168" s="554"/>
      <c r="G168" s="554"/>
      <c r="H168" s="554"/>
      <c r="I168" s="554"/>
      <c r="J168" s="554"/>
      <c r="K168" s="554"/>
      <c r="L168" s="554"/>
      <c r="M168" s="692"/>
      <c r="N168" s="786"/>
      <c r="O168" s="787"/>
      <c r="P168" s="569"/>
      <c r="Q168" s="615"/>
      <c r="R168" s="569"/>
      <c r="U168" s="669"/>
    </row>
    <row r="169" spans="1:21" ht="12.75">
      <c r="A169" s="555"/>
      <c r="B169" s="556"/>
      <c r="C169" s="557"/>
      <c r="D169" s="558"/>
      <c r="E169" s="554"/>
      <c r="F169" s="554"/>
      <c r="G169" s="554"/>
      <c r="H169" s="554"/>
      <c r="I169" s="554"/>
      <c r="J169" s="554"/>
      <c r="K169" s="554"/>
      <c r="L169" s="554"/>
      <c r="M169" s="692"/>
      <c r="N169" s="786"/>
      <c r="O169" s="787"/>
      <c r="P169" s="569"/>
      <c r="Q169" s="615"/>
      <c r="R169" s="569"/>
      <c r="U169" s="669"/>
    </row>
    <row r="170" spans="1:21" ht="12.75">
      <c r="A170" s="555" t="s">
        <v>208</v>
      </c>
      <c r="B170" s="556" t="s">
        <v>254</v>
      </c>
      <c r="C170" s="557">
        <v>4031970</v>
      </c>
      <c r="D170" s="558"/>
      <c r="E170" s="554"/>
      <c r="F170" s="554"/>
      <c r="G170" s="554"/>
      <c r="H170" s="554"/>
      <c r="I170" s="554"/>
      <c r="J170" s="554"/>
      <c r="K170" s="554"/>
      <c r="L170" s="554"/>
      <c r="M170" s="895">
        <f>+C170</f>
        <v>4031970</v>
      </c>
      <c r="N170" s="786"/>
      <c r="O170" s="787"/>
      <c r="P170" s="569"/>
      <c r="Q170" s="615"/>
      <c r="R170" s="569"/>
      <c r="S170" s="793" t="s">
        <v>751</v>
      </c>
      <c r="U170" s="669"/>
    </row>
    <row r="171" spans="1:21" ht="12.75">
      <c r="A171" s="555"/>
      <c r="B171" s="556" t="s">
        <v>308</v>
      </c>
      <c r="C171" s="557"/>
      <c r="D171" s="558">
        <f>-C170</f>
        <v>-4031970</v>
      </c>
      <c r="E171" s="554"/>
      <c r="F171" s="554"/>
      <c r="G171" s="554"/>
      <c r="H171" s="554"/>
      <c r="I171" s="554"/>
      <c r="J171" s="554"/>
      <c r="K171" s="554"/>
      <c r="L171" s="554"/>
      <c r="M171" s="692"/>
      <c r="N171" s="786">
        <f>+D171</f>
        <v>-4031970</v>
      </c>
      <c r="O171" s="787"/>
      <c r="P171" s="569"/>
      <c r="Q171" s="615"/>
      <c r="R171" s="569"/>
      <c r="U171" s="669"/>
    </row>
    <row r="172" spans="1:21" ht="12.75">
      <c r="A172" s="555"/>
      <c r="B172" s="556" t="s">
        <v>309</v>
      </c>
      <c r="C172" s="557"/>
      <c r="D172" s="558"/>
      <c r="E172" s="554"/>
      <c r="F172" s="554"/>
      <c r="G172" s="554"/>
      <c r="H172" s="554"/>
      <c r="I172" s="554"/>
      <c r="J172" s="554"/>
      <c r="K172" s="554"/>
      <c r="L172" s="554"/>
      <c r="M172" s="692"/>
      <c r="N172" s="786"/>
      <c r="O172" s="787"/>
      <c r="P172" s="569"/>
      <c r="Q172" s="615"/>
      <c r="R172" s="569"/>
      <c r="U172" s="669"/>
    </row>
    <row r="173" spans="1:21" ht="12.75">
      <c r="A173" s="555"/>
      <c r="B173" s="556"/>
      <c r="C173" s="557"/>
      <c r="D173" s="558"/>
      <c r="E173" s="554"/>
      <c r="F173" s="554"/>
      <c r="G173" s="554"/>
      <c r="H173" s="554"/>
      <c r="I173" s="554"/>
      <c r="J173" s="554"/>
      <c r="K173" s="554"/>
      <c r="L173" s="554"/>
      <c r="M173" s="692"/>
      <c r="N173" s="786"/>
      <c r="O173" s="787"/>
      <c r="P173" s="569"/>
      <c r="Q173" s="615"/>
      <c r="R173" s="569"/>
      <c r="U173" s="669"/>
    </row>
    <row r="174" spans="1:21" ht="12.75">
      <c r="A174" s="555" t="s">
        <v>275</v>
      </c>
      <c r="B174" s="556" t="s">
        <v>279</v>
      </c>
      <c r="C174" s="557">
        <v>200000</v>
      </c>
      <c r="D174" s="558"/>
      <c r="E174" s="554"/>
      <c r="F174" s="554"/>
      <c r="G174" s="554"/>
      <c r="H174" s="554"/>
      <c r="I174" s="554">
        <f>C174</f>
        <v>200000</v>
      </c>
      <c r="J174" s="554"/>
      <c r="K174" s="554"/>
      <c r="L174" s="554"/>
      <c r="M174" s="692"/>
      <c r="N174" s="786"/>
      <c r="O174" s="787"/>
      <c r="P174" s="569"/>
      <c r="Q174" s="615"/>
      <c r="R174" s="569"/>
      <c r="S174" s="793" t="s">
        <v>751</v>
      </c>
      <c r="U174" s="669"/>
    </row>
    <row r="175" spans="1:21" ht="12.75">
      <c r="A175" s="555"/>
      <c r="B175" s="556" t="s">
        <v>280</v>
      </c>
      <c r="C175" s="557">
        <v>831009</v>
      </c>
      <c r="D175" s="558"/>
      <c r="E175" s="554"/>
      <c r="F175" s="554"/>
      <c r="G175" s="554"/>
      <c r="H175" s="554"/>
      <c r="I175" s="554"/>
      <c r="J175" s="554"/>
      <c r="K175" s="554"/>
      <c r="L175" s="554"/>
      <c r="M175" s="692"/>
      <c r="N175" s="786">
        <f>C175</f>
        <v>831009</v>
      </c>
      <c r="O175" s="787"/>
      <c r="P175" s="569"/>
      <c r="Q175" s="615"/>
      <c r="R175" s="569"/>
      <c r="U175" s="669"/>
    </row>
    <row r="176" spans="1:21" ht="12.75">
      <c r="A176" s="555"/>
      <c r="B176" s="556" t="s">
        <v>281</v>
      </c>
      <c r="C176" s="557">
        <v>-352826</v>
      </c>
      <c r="D176" s="558"/>
      <c r="E176" s="554"/>
      <c r="F176" s="554"/>
      <c r="G176" s="554"/>
      <c r="H176" s="554"/>
      <c r="I176" s="554"/>
      <c r="J176" s="554"/>
      <c r="K176" s="554"/>
      <c r="L176" s="554"/>
      <c r="M176" s="692"/>
      <c r="N176" s="786">
        <f>C176</f>
        <v>-352826</v>
      </c>
      <c r="O176" s="787"/>
      <c r="P176" s="569"/>
      <c r="Q176" s="615"/>
      <c r="R176" s="569"/>
      <c r="U176" s="669"/>
    </row>
    <row r="177" spans="1:21" ht="12.75">
      <c r="A177" s="555"/>
      <c r="B177" s="556" t="s">
        <v>276</v>
      </c>
      <c r="C177" s="557"/>
      <c r="D177" s="558">
        <v>-500000</v>
      </c>
      <c r="E177" s="554"/>
      <c r="F177" s="554"/>
      <c r="G177" s="554"/>
      <c r="H177" s="554"/>
      <c r="I177" s="554">
        <f>D177</f>
        <v>-500000</v>
      </c>
      <c r="J177" s="554"/>
      <c r="K177" s="554"/>
      <c r="L177" s="554"/>
      <c r="M177" s="692"/>
      <c r="N177" s="786"/>
      <c r="O177" s="787"/>
      <c r="P177" s="569"/>
      <c r="Q177" s="615"/>
      <c r="R177" s="569"/>
      <c r="U177" s="669"/>
    </row>
    <row r="178" spans="1:21" ht="12.75">
      <c r="A178" s="555"/>
      <c r="B178" s="556" t="s">
        <v>1158</v>
      </c>
      <c r="C178" s="557"/>
      <c r="D178" s="558">
        <f>-C174-C175-C176-D177</f>
        <v>-178183</v>
      </c>
      <c r="E178" s="554"/>
      <c r="F178" s="554"/>
      <c r="G178" s="554"/>
      <c r="H178" s="554"/>
      <c r="I178" s="554"/>
      <c r="J178" s="554"/>
      <c r="K178" s="554"/>
      <c r="L178" s="554"/>
      <c r="M178" s="692"/>
      <c r="N178" s="786">
        <v>-178183</v>
      </c>
      <c r="O178" s="787"/>
      <c r="P178" s="569"/>
      <c r="Q178" s="615"/>
      <c r="R178" s="569"/>
      <c r="U178" s="669"/>
    </row>
    <row r="179" spans="1:21" ht="12.75">
      <c r="A179" s="555"/>
      <c r="B179" s="556" t="s">
        <v>307</v>
      </c>
      <c r="C179" s="557"/>
      <c r="D179" s="558"/>
      <c r="E179" s="554"/>
      <c r="F179" s="554"/>
      <c r="G179" s="554"/>
      <c r="H179" s="554"/>
      <c r="I179" s="554"/>
      <c r="J179" s="554"/>
      <c r="K179" s="554"/>
      <c r="L179" s="554"/>
      <c r="M179" s="692"/>
      <c r="N179" s="786"/>
      <c r="O179" s="787"/>
      <c r="P179" s="569"/>
      <c r="Q179" s="615"/>
      <c r="R179" s="569"/>
      <c r="U179" s="669"/>
    </row>
    <row r="180" spans="1:21" ht="12.75">
      <c r="A180" s="555"/>
      <c r="B180" s="556"/>
      <c r="C180" s="557"/>
      <c r="D180" s="558"/>
      <c r="E180" s="554"/>
      <c r="F180" s="554"/>
      <c r="G180" s="554"/>
      <c r="H180" s="554"/>
      <c r="I180" s="554"/>
      <c r="J180" s="554"/>
      <c r="K180" s="554"/>
      <c r="L180" s="554"/>
      <c r="M180" s="692"/>
      <c r="N180" s="786"/>
      <c r="O180" s="787"/>
      <c r="P180" s="569"/>
      <c r="Q180" s="615"/>
      <c r="R180" s="569"/>
      <c r="U180" s="669"/>
    </row>
    <row r="181" spans="1:21" ht="12.75">
      <c r="A181" s="555" t="s">
        <v>277</v>
      </c>
      <c r="B181" s="556" t="s">
        <v>254</v>
      </c>
      <c r="C181" s="557">
        <f>2210118</f>
        <v>2210118</v>
      </c>
      <c r="D181" s="558"/>
      <c r="E181" s="554"/>
      <c r="F181" s="554"/>
      <c r="G181" s="554"/>
      <c r="H181" s="554"/>
      <c r="I181" s="554"/>
      <c r="J181" s="554"/>
      <c r="K181" s="554"/>
      <c r="L181" s="554"/>
      <c r="M181" s="797">
        <f>C181</f>
        <v>2210118</v>
      </c>
      <c r="N181" s="786"/>
      <c r="O181" s="787"/>
      <c r="P181" s="569"/>
      <c r="Q181" s="615"/>
      <c r="R181" s="569"/>
      <c r="U181" s="669"/>
    </row>
    <row r="182" spans="1:21" ht="12.75">
      <c r="A182" s="555"/>
      <c r="B182" s="556" t="s">
        <v>284</v>
      </c>
      <c r="C182" s="557"/>
      <c r="D182" s="558">
        <f>-C181</f>
        <v>-2210118</v>
      </c>
      <c r="E182" s="554"/>
      <c r="F182" s="554"/>
      <c r="G182" s="554"/>
      <c r="H182" s="554"/>
      <c r="I182" s="554">
        <v>0</v>
      </c>
      <c r="J182" s="554"/>
      <c r="K182" s="554"/>
      <c r="L182" s="554"/>
      <c r="M182" s="692"/>
      <c r="N182" s="786">
        <f>D182</f>
        <v>-2210118</v>
      </c>
      <c r="O182" s="787"/>
      <c r="P182" s="569"/>
      <c r="Q182" s="615"/>
      <c r="R182" s="569"/>
      <c r="U182" s="669"/>
    </row>
    <row r="183" spans="1:21" ht="12.75">
      <c r="A183" s="555"/>
      <c r="B183" s="556" t="s">
        <v>497</v>
      </c>
      <c r="C183" s="557"/>
      <c r="D183" s="558"/>
      <c r="E183" s="554"/>
      <c r="F183" s="554"/>
      <c r="G183" s="554"/>
      <c r="H183" s="554"/>
      <c r="I183" s="554"/>
      <c r="J183" s="554"/>
      <c r="K183" s="554"/>
      <c r="L183" s="554"/>
      <c r="M183" s="692"/>
      <c r="N183" s="786"/>
      <c r="O183" s="787"/>
      <c r="P183" s="569"/>
      <c r="Q183" s="615"/>
      <c r="R183" s="569"/>
      <c r="U183" s="669"/>
    </row>
    <row r="184" spans="1:21" ht="12.75">
      <c r="A184" s="555"/>
      <c r="B184" s="556"/>
      <c r="C184" s="557"/>
      <c r="D184" s="558"/>
      <c r="E184" s="554"/>
      <c r="F184" s="554"/>
      <c r="G184" s="554"/>
      <c r="H184" s="554"/>
      <c r="I184" s="554"/>
      <c r="J184" s="554"/>
      <c r="K184" s="554"/>
      <c r="L184" s="554"/>
      <c r="M184" s="692"/>
      <c r="N184" s="786"/>
      <c r="O184" s="787"/>
      <c r="P184" s="569"/>
      <c r="Q184" s="615"/>
      <c r="R184" s="569"/>
      <c r="U184" s="669"/>
    </row>
    <row r="185" spans="1:21" ht="12.75">
      <c r="A185" s="555" t="s">
        <v>258</v>
      </c>
      <c r="B185" s="556" t="s">
        <v>260</v>
      </c>
      <c r="C185" s="557">
        <f>1862-131580</f>
        <v>-129718</v>
      </c>
      <c r="D185" s="558"/>
      <c r="E185" s="554"/>
      <c r="F185" s="554"/>
      <c r="G185" s="554"/>
      <c r="H185" s="554"/>
      <c r="I185" s="554">
        <f>C185</f>
        <v>-129718</v>
      </c>
      <c r="J185" s="554"/>
      <c r="K185" s="554"/>
      <c r="L185" s="554"/>
      <c r="M185" s="692"/>
      <c r="N185" s="786"/>
      <c r="O185" s="787"/>
      <c r="P185" s="569"/>
      <c r="Q185" s="615"/>
      <c r="R185" s="569"/>
      <c r="U185" s="669"/>
    </row>
    <row r="186" spans="1:21" ht="12.75">
      <c r="A186" s="555"/>
      <c r="B186" s="556" t="s">
        <v>259</v>
      </c>
      <c r="C186" s="557"/>
      <c r="D186" s="558">
        <f>-C185</f>
        <v>129718</v>
      </c>
      <c r="E186" s="554"/>
      <c r="F186" s="554"/>
      <c r="G186" s="554"/>
      <c r="H186" s="554"/>
      <c r="I186" s="554"/>
      <c r="J186" s="554"/>
      <c r="K186" s="554"/>
      <c r="L186" s="554"/>
      <c r="M186" s="692"/>
      <c r="N186" s="786">
        <f>D186</f>
        <v>129718</v>
      </c>
      <c r="O186" s="787">
        <v>0</v>
      </c>
      <c r="P186" s="569"/>
      <c r="Q186" s="615"/>
      <c r="R186" s="569"/>
      <c r="U186" s="669"/>
    </row>
    <row r="187" spans="1:21" ht="12.75">
      <c r="A187" s="555"/>
      <c r="B187" s="556" t="s">
        <v>261</v>
      </c>
      <c r="C187" s="557"/>
      <c r="D187" s="558"/>
      <c r="E187" s="554"/>
      <c r="F187" s="554"/>
      <c r="G187" s="554"/>
      <c r="H187" s="554"/>
      <c r="I187" s="554"/>
      <c r="J187" s="554"/>
      <c r="K187" s="554"/>
      <c r="L187" s="554"/>
      <c r="M187" s="692"/>
      <c r="N187" s="786"/>
      <c r="O187" s="787"/>
      <c r="P187" s="569"/>
      <c r="Q187" s="615"/>
      <c r="R187" s="569"/>
      <c r="U187" s="669"/>
    </row>
    <row r="188" spans="1:21" ht="12.75" hidden="1">
      <c r="A188" s="555"/>
      <c r="B188" s="556"/>
      <c r="C188" s="557"/>
      <c r="D188" s="558"/>
      <c r="E188" s="554"/>
      <c r="F188" s="554"/>
      <c r="G188" s="554"/>
      <c r="H188" s="554"/>
      <c r="I188" s="554"/>
      <c r="J188" s="554"/>
      <c r="K188" s="554"/>
      <c r="L188" s="554"/>
      <c r="M188" s="692"/>
      <c r="N188" s="786"/>
      <c r="O188" s="787"/>
      <c r="P188" s="569"/>
      <c r="Q188" s="615"/>
      <c r="R188" s="569"/>
      <c r="U188" s="669"/>
    </row>
    <row r="189" spans="1:21" ht="12.75" hidden="1">
      <c r="A189" s="555"/>
      <c r="B189" s="556"/>
      <c r="C189" s="557"/>
      <c r="D189" s="558"/>
      <c r="E189" s="554"/>
      <c r="F189" s="554"/>
      <c r="G189" s="554"/>
      <c r="H189" s="554"/>
      <c r="I189" s="554"/>
      <c r="J189" s="554"/>
      <c r="K189" s="554"/>
      <c r="L189" s="554"/>
      <c r="M189" s="692"/>
      <c r="N189" s="786">
        <f>C189</f>
        <v>0</v>
      </c>
      <c r="O189" s="787"/>
      <c r="P189" s="569"/>
      <c r="Q189" s="615"/>
      <c r="R189" s="569"/>
      <c r="U189" s="669"/>
    </row>
    <row r="190" spans="1:21" ht="12.75" hidden="1">
      <c r="A190" s="555"/>
      <c r="B190" s="556"/>
      <c r="C190" s="557"/>
      <c r="D190" s="558"/>
      <c r="E190" s="554"/>
      <c r="F190" s="554"/>
      <c r="G190" s="554">
        <f>D190</f>
        <v>0</v>
      </c>
      <c r="H190" s="554"/>
      <c r="I190" s="554"/>
      <c r="J190" s="554"/>
      <c r="K190" s="554"/>
      <c r="L190" s="554"/>
      <c r="M190" s="692"/>
      <c r="N190" s="786"/>
      <c r="O190" s="787"/>
      <c r="P190" s="569"/>
      <c r="Q190" s="615"/>
      <c r="R190" s="569"/>
      <c r="U190" s="669"/>
    </row>
    <row r="191" spans="1:21" ht="12.75" hidden="1">
      <c r="A191" s="555"/>
      <c r="B191" s="556"/>
      <c r="C191" s="557"/>
      <c r="D191" s="558"/>
      <c r="E191" s="554"/>
      <c r="F191" s="554"/>
      <c r="G191" s="554"/>
      <c r="H191" s="554"/>
      <c r="I191" s="554"/>
      <c r="J191" s="554"/>
      <c r="K191" s="554"/>
      <c r="L191" s="554"/>
      <c r="M191" s="692"/>
      <c r="N191" s="786"/>
      <c r="O191" s="787"/>
      <c r="P191" s="569"/>
      <c r="Q191" s="615"/>
      <c r="R191" s="569"/>
      <c r="U191" s="669"/>
    </row>
    <row r="192" spans="1:21" ht="12.75" hidden="1">
      <c r="A192" s="555"/>
      <c r="B192" s="556"/>
      <c r="C192" s="557"/>
      <c r="D192" s="558"/>
      <c r="E192" s="554"/>
      <c r="F192" s="554"/>
      <c r="G192" s="554"/>
      <c r="H192" s="554"/>
      <c r="I192" s="554"/>
      <c r="J192" s="554"/>
      <c r="K192" s="554"/>
      <c r="L192" s="554"/>
      <c r="M192" s="692"/>
      <c r="N192" s="786"/>
      <c r="O192" s="787"/>
      <c r="P192" s="569"/>
      <c r="Q192" s="615"/>
      <c r="R192" s="569"/>
      <c r="U192" s="669"/>
    </row>
    <row r="193" spans="1:21" ht="12.75" hidden="1">
      <c r="A193" s="555"/>
      <c r="B193" s="556"/>
      <c r="C193" s="557"/>
      <c r="D193" s="558"/>
      <c r="E193" s="554"/>
      <c r="F193" s="554"/>
      <c r="G193" s="554"/>
      <c r="H193" s="554"/>
      <c r="I193" s="554"/>
      <c r="J193" s="554"/>
      <c r="K193" s="554"/>
      <c r="L193" s="554"/>
      <c r="M193" s="692"/>
      <c r="N193" s="786"/>
      <c r="O193" s="787"/>
      <c r="P193" s="569"/>
      <c r="Q193" s="615"/>
      <c r="R193" s="569"/>
      <c r="U193" s="669"/>
    </row>
    <row r="194" spans="1:21" ht="12.75" hidden="1">
      <c r="A194" s="555"/>
      <c r="B194" s="556"/>
      <c r="C194" s="557"/>
      <c r="D194" s="558"/>
      <c r="E194" s="554"/>
      <c r="F194" s="554"/>
      <c r="G194" s="554"/>
      <c r="H194" s="554"/>
      <c r="I194" s="554"/>
      <c r="J194" s="554"/>
      <c r="K194" s="554"/>
      <c r="L194" s="554"/>
      <c r="M194" s="692"/>
      <c r="N194" s="786"/>
      <c r="O194" s="787"/>
      <c r="P194" s="569"/>
      <c r="Q194" s="615"/>
      <c r="R194" s="569"/>
      <c r="U194" s="669"/>
    </row>
    <row r="195" spans="1:21" ht="12.75" hidden="1">
      <c r="A195" s="555"/>
      <c r="B195" s="556"/>
      <c r="C195" s="557"/>
      <c r="D195" s="558"/>
      <c r="E195" s="554"/>
      <c r="F195" s="554"/>
      <c r="G195" s="554"/>
      <c r="H195" s="554"/>
      <c r="I195" s="554"/>
      <c r="J195" s="554"/>
      <c r="K195" s="554"/>
      <c r="L195" s="554"/>
      <c r="M195" s="692"/>
      <c r="N195" s="786"/>
      <c r="O195" s="787"/>
      <c r="P195" s="569"/>
      <c r="Q195" s="615"/>
      <c r="R195" s="569"/>
      <c r="U195" s="669"/>
    </row>
    <row r="196" spans="1:21" ht="12.75">
      <c r="A196" s="555"/>
      <c r="B196" s="556"/>
      <c r="C196" s="557"/>
      <c r="D196" s="558"/>
      <c r="E196" s="554"/>
      <c r="F196" s="554"/>
      <c r="G196" s="554"/>
      <c r="H196" s="554"/>
      <c r="I196" s="554"/>
      <c r="J196" s="554"/>
      <c r="K196" s="554"/>
      <c r="L196" s="554"/>
      <c r="M196" s="692"/>
      <c r="N196" s="786"/>
      <c r="O196" s="787"/>
      <c r="P196" s="569"/>
      <c r="Q196" s="615"/>
      <c r="R196" s="569"/>
      <c r="U196" s="669"/>
    </row>
    <row r="197" spans="1:21" ht="12.75">
      <c r="A197" s="555" t="s">
        <v>493</v>
      </c>
      <c r="B197" s="556" t="s">
        <v>495</v>
      </c>
      <c r="C197" s="557">
        <f>179534-1084489-364688</f>
        <v>-1269643</v>
      </c>
      <c r="D197" s="558"/>
      <c r="E197" s="554"/>
      <c r="F197" s="554"/>
      <c r="G197" s="554"/>
      <c r="H197" s="554"/>
      <c r="I197" s="554"/>
      <c r="J197" s="554"/>
      <c r="K197" s="554"/>
      <c r="L197" s="554"/>
      <c r="M197" s="692"/>
      <c r="N197" s="786">
        <f>C197</f>
        <v>-1269643</v>
      </c>
      <c r="O197" s="787">
        <v>0</v>
      </c>
      <c r="P197" s="569"/>
      <c r="Q197" s="615"/>
      <c r="R197" s="569"/>
      <c r="U197" s="669"/>
    </row>
    <row r="198" spans="1:21" ht="12.75">
      <c r="A198" s="555"/>
      <c r="B198" s="556" t="s">
        <v>494</v>
      </c>
      <c r="C198" s="557"/>
      <c r="D198" s="558">
        <f>-C197</f>
        <v>1269643</v>
      </c>
      <c r="E198" s="554"/>
      <c r="F198" s="554"/>
      <c r="G198" s="554"/>
      <c r="H198" s="554"/>
      <c r="I198" s="554">
        <f>D198</f>
        <v>1269643</v>
      </c>
      <c r="J198" s="554"/>
      <c r="K198" s="554"/>
      <c r="L198" s="554"/>
      <c r="M198" s="692"/>
      <c r="N198" s="786"/>
      <c r="O198" s="787"/>
      <c r="P198" s="569"/>
      <c r="Q198" s="615"/>
      <c r="R198" s="569"/>
      <c r="U198" s="669"/>
    </row>
    <row r="199" spans="1:21" ht="12.75">
      <c r="A199" s="555"/>
      <c r="B199" s="556" t="s">
        <v>496</v>
      </c>
      <c r="C199" s="557"/>
      <c r="D199" s="558"/>
      <c r="E199" s="554"/>
      <c r="F199" s="554"/>
      <c r="G199" s="554"/>
      <c r="H199" s="554"/>
      <c r="I199" s="554"/>
      <c r="J199" s="554"/>
      <c r="K199" s="554"/>
      <c r="L199" s="554"/>
      <c r="M199" s="692"/>
      <c r="N199" s="786"/>
      <c r="O199" s="787"/>
      <c r="P199" s="569"/>
      <c r="Q199" s="615"/>
      <c r="R199" s="569"/>
      <c r="U199" s="669"/>
    </row>
    <row r="200" spans="1:21" ht="12.75">
      <c r="A200" s="555"/>
      <c r="B200" s="556"/>
      <c r="C200" s="557"/>
      <c r="D200" s="558"/>
      <c r="E200" s="554"/>
      <c r="F200" s="554"/>
      <c r="G200" s="554"/>
      <c r="H200" s="554"/>
      <c r="I200" s="554"/>
      <c r="J200" s="554"/>
      <c r="K200" s="554"/>
      <c r="L200" s="554"/>
      <c r="M200" s="692"/>
      <c r="N200" s="786"/>
      <c r="O200" s="787"/>
      <c r="P200" s="569"/>
      <c r="Q200" s="615"/>
      <c r="R200" s="569"/>
      <c r="U200" s="669"/>
    </row>
    <row r="201" spans="1:21" ht="12.75">
      <c r="A201" s="555" t="s">
        <v>102</v>
      </c>
      <c r="B201" s="556" t="s">
        <v>1644</v>
      </c>
      <c r="C201" s="557">
        <f>1664623</f>
        <v>1664623</v>
      </c>
      <c r="D201" s="558"/>
      <c r="E201" s="554"/>
      <c r="F201" s="554"/>
      <c r="G201" s="554"/>
      <c r="H201" s="554"/>
      <c r="I201" s="554"/>
      <c r="J201" s="554"/>
      <c r="K201" s="554"/>
      <c r="L201" s="554"/>
      <c r="M201" s="692"/>
      <c r="N201" s="786">
        <v>1664623</v>
      </c>
      <c r="O201" s="787"/>
      <c r="P201" s="569"/>
      <c r="Q201" s="615"/>
      <c r="R201" s="569"/>
      <c r="U201" s="669"/>
    </row>
    <row r="202" spans="1:21" ht="12.75">
      <c r="A202" s="555"/>
      <c r="B202" s="556" t="s">
        <v>1499</v>
      </c>
      <c r="C202" s="557">
        <f>-'P&amp;L'!R78*1000</f>
        <v>64737.000000000095</v>
      </c>
      <c r="D202" s="558"/>
      <c r="E202" s="554"/>
      <c r="F202" s="554"/>
      <c r="G202" s="554"/>
      <c r="H202" s="554"/>
      <c r="I202" s="554"/>
      <c r="J202" s="554"/>
      <c r="K202" s="554"/>
      <c r="L202" s="554"/>
      <c r="M202" s="692"/>
      <c r="N202" s="786"/>
      <c r="O202" s="787">
        <f>C202</f>
        <v>64737.000000000095</v>
      </c>
      <c r="P202" s="569"/>
      <c r="Q202" s="615"/>
      <c r="R202" s="569"/>
      <c r="U202" s="669"/>
    </row>
    <row r="203" spans="1:21" ht="12.75">
      <c r="A203" s="555"/>
      <c r="B203" s="556" t="s">
        <v>0</v>
      </c>
      <c r="C203" s="557"/>
      <c r="D203" s="558">
        <f>-(1664623*44.5%)+('P&amp;L'!R78*1000*44.5%)</f>
        <v>-769565.2000000001</v>
      </c>
      <c r="E203" s="554"/>
      <c r="F203" s="554"/>
      <c r="G203" s="554"/>
      <c r="H203" s="554"/>
      <c r="I203" s="554"/>
      <c r="J203" s="554"/>
      <c r="K203" s="554"/>
      <c r="L203" s="554"/>
      <c r="M203" s="692"/>
      <c r="N203" s="786"/>
      <c r="O203" s="787">
        <f>D203</f>
        <v>-769565.2000000001</v>
      </c>
      <c r="P203" s="569"/>
      <c r="Q203" s="615"/>
      <c r="R203" s="569"/>
      <c r="U203" s="669"/>
    </row>
    <row r="204" spans="1:21" ht="12.75">
      <c r="A204" s="555"/>
      <c r="B204" s="672" t="s">
        <v>394</v>
      </c>
      <c r="C204" s="557"/>
      <c r="D204" s="558">
        <v>-330000</v>
      </c>
      <c r="E204" s="554"/>
      <c r="F204" s="554"/>
      <c r="G204" s="554"/>
      <c r="H204" s="554"/>
      <c r="I204" s="554"/>
      <c r="J204" s="554"/>
      <c r="K204" s="554"/>
      <c r="L204" s="554"/>
      <c r="M204" s="692"/>
      <c r="N204" s="786">
        <f>D204</f>
        <v>-330000</v>
      </c>
      <c r="O204" s="787"/>
      <c r="P204" s="569"/>
      <c r="Q204" s="615"/>
      <c r="R204" s="569"/>
      <c r="U204" s="669"/>
    </row>
    <row r="205" spans="1:21" ht="12.75">
      <c r="A205" s="555"/>
      <c r="B205" s="672" t="s">
        <v>395</v>
      </c>
      <c r="C205" s="554"/>
      <c r="D205" s="558">
        <v>0</v>
      </c>
      <c r="E205" s="554"/>
      <c r="F205" s="554"/>
      <c r="G205" s="554"/>
      <c r="H205" s="554"/>
      <c r="I205" s="554"/>
      <c r="J205" s="554"/>
      <c r="K205" s="554"/>
      <c r="L205" s="554"/>
      <c r="M205" s="692"/>
      <c r="N205" s="786"/>
      <c r="O205" s="787"/>
      <c r="P205" s="569">
        <f>D205</f>
        <v>0</v>
      </c>
      <c r="Q205" s="615"/>
      <c r="R205" s="569"/>
      <c r="U205" s="669"/>
    </row>
    <row r="206" spans="1:21" ht="12.75">
      <c r="A206" s="555"/>
      <c r="B206" s="556" t="s">
        <v>1501</v>
      </c>
      <c r="C206" s="557"/>
      <c r="D206" s="558">
        <f>-(SUM(C201:C207)+SUM(D201:D205))</f>
        <v>-959794.7999999998</v>
      </c>
      <c r="E206" s="554"/>
      <c r="F206" s="554"/>
      <c r="G206" s="554"/>
      <c r="H206" s="554"/>
      <c r="I206" s="554"/>
      <c r="J206" s="554">
        <f>D206</f>
        <v>-959794.7999999998</v>
      </c>
      <c r="K206" s="554"/>
      <c r="L206" s="554"/>
      <c r="M206" s="692"/>
      <c r="N206" s="786"/>
      <c r="O206" s="787"/>
      <c r="P206" s="569"/>
      <c r="Q206" s="615"/>
      <c r="R206" s="569"/>
      <c r="U206" s="669"/>
    </row>
    <row r="207" spans="1:21" ht="12.75">
      <c r="A207" s="555"/>
      <c r="B207" s="556" t="s">
        <v>369</v>
      </c>
      <c r="C207" s="557">
        <f>-D204</f>
        <v>330000</v>
      </c>
      <c r="D207" s="558"/>
      <c r="E207" s="554"/>
      <c r="F207" s="554"/>
      <c r="G207" s="554">
        <f>C207</f>
        <v>330000</v>
      </c>
      <c r="H207" s="554"/>
      <c r="I207" s="554"/>
      <c r="J207" s="554"/>
      <c r="K207" s="554"/>
      <c r="L207" s="554"/>
      <c r="M207" s="692"/>
      <c r="N207" s="786"/>
      <c r="O207" s="787"/>
      <c r="P207" s="569"/>
      <c r="Q207" s="615"/>
      <c r="R207" s="569"/>
      <c r="U207" s="669"/>
    </row>
    <row r="208" spans="1:21" ht="12.75">
      <c r="A208" s="555"/>
      <c r="B208" s="556" t="s">
        <v>1500</v>
      </c>
      <c r="C208" s="557"/>
      <c r="D208" s="558"/>
      <c r="E208" s="554"/>
      <c r="F208" s="554"/>
      <c r="G208" s="554"/>
      <c r="H208" s="554"/>
      <c r="I208" s="554"/>
      <c r="J208" s="554"/>
      <c r="K208" s="554"/>
      <c r="L208" s="554"/>
      <c r="M208" s="692"/>
      <c r="N208" s="786"/>
      <c r="O208" s="787"/>
      <c r="P208" s="569"/>
      <c r="Q208" s="615"/>
      <c r="R208" s="569"/>
      <c r="U208" s="669"/>
    </row>
    <row r="209" spans="1:21" ht="12.75">
      <c r="A209" s="555"/>
      <c r="B209" s="556"/>
      <c r="C209" s="557"/>
      <c r="D209" s="558"/>
      <c r="E209" s="554"/>
      <c r="F209" s="554"/>
      <c r="G209" s="554"/>
      <c r="H209" s="554"/>
      <c r="I209" s="554"/>
      <c r="J209" s="554"/>
      <c r="K209" s="554"/>
      <c r="L209" s="554"/>
      <c r="M209" s="692"/>
      <c r="N209" s="786"/>
      <c r="O209" s="787"/>
      <c r="P209" s="569"/>
      <c r="Q209" s="615"/>
      <c r="R209" s="569"/>
      <c r="U209" s="669"/>
    </row>
    <row r="210" spans="1:21" ht="12.75">
      <c r="A210" s="555" t="s">
        <v>1643</v>
      </c>
      <c r="B210" s="556" t="s">
        <v>1416</v>
      </c>
      <c r="C210" s="557">
        <v>0</v>
      </c>
      <c r="D210" s="558"/>
      <c r="E210" s="554"/>
      <c r="F210" s="554"/>
      <c r="G210" s="554">
        <f>C210</f>
        <v>0</v>
      </c>
      <c r="H210" s="554"/>
      <c r="I210" s="554"/>
      <c r="J210" s="554"/>
      <c r="K210" s="554"/>
      <c r="L210" s="554"/>
      <c r="M210" s="692"/>
      <c r="N210" s="786"/>
      <c r="O210" s="787"/>
      <c r="P210" s="569"/>
      <c r="Q210" s="615"/>
      <c r="R210" s="569"/>
      <c r="U210" s="669"/>
    </row>
    <row r="211" spans="1:21" ht="12.75">
      <c r="A211" s="555"/>
      <c r="B211" s="556" t="s">
        <v>163</v>
      </c>
      <c r="C211" s="557"/>
      <c r="D211" s="558">
        <f>-C210</f>
        <v>0</v>
      </c>
      <c r="E211" s="554"/>
      <c r="F211" s="554"/>
      <c r="G211" s="554"/>
      <c r="H211" s="554"/>
      <c r="I211" s="554"/>
      <c r="J211" s="554">
        <f>D211</f>
        <v>0</v>
      </c>
      <c r="K211" s="554"/>
      <c r="L211" s="554"/>
      <c r="M211" s="692"/>
      <c r="N211" s="786"/>
      <c r="O211" s="787"/>
      <c r="P211" s="569"/>
      <c r="Q211" s="615"/>
      <c r="R211" s="569"/>
      <c r="U211" s="669"/>
    </row>
    <row r="212" spans="1:21" ht="12.75">
      <c r="A212" s="555"/>
      <c r="B212" s="556"/>
      <c r="C212" s="557"/>
      <c r="D212" s="558"/>
      <c r="E212" s="554"/>
      <c r="F212" s="554"/>
      <c r="G212" s="554"/>
      <c r="H212" s="554"/>
      <c r="I212" s="554"/>
      <c r="J212" s="554"/>
      <c r="K212" s="554"/>
      <c r="L212" s="554"/>
      <c r="M212" s="692"/>
      <c r="N212" s="786"/>
      <c r="O212" s="787"/>
      <c r="P212" s="569"/>
      <c r="Q212" s="615"/>
      <c r="R212" s="569"/>
      <c r="U212" s="669"/>
    </row>
    <row r="213" spans="1:21" ht="12.75">
      <c r="A213" s="555"/>
      <c r="B213" s="556"/>
      <c r="C213" s="557"/>
      <c r="D213" s="558"/>
      <c r="E213" s="554"/>
      <c r="F213" s="554"/>
      <c r="G213" s="554"/>
      <c r="H213" s="554"/>
      <c r="I213" s="554"/>
      <c r="J213" s="554"/>
      <c r="K213" s="554"/>
      <c r="L213" s="554"/>
      <c r="M213" s="692"/>
      <c r="N213" s="786"/>
      <c r="O213" s="787"/>
      <c r="P213" s="569"/>
      <c r="Q213" s="615"/>
      <c r="R213" s="569"/>
      <c r="U213" s="669"/>
    </row>
    <row r="214" spans="1:21" ht="12.75">
      <c r="A214" s="555" t="s">
        <v>162</v>
      </c>
      <c r="B214" s="556" t="s">
        <v>103</v>
      </c>
      <c r="C214" s="557">
        <f>-D216-C215</f>
        <v>-254289.5</v>
      </c>
      <c r="D214" s="558"/>
      <c r="E214" s="554"/>
      <c r="F214" s="554"/>
      <c r="G214" s="554"/>
      <c r="H214" s="554"/>
      <c r="I214" s="554"/>
      <c r="J214" s="554">
        <f>C214</f>
        <v>-254289.5</v>
      </c>
      <c r="K214" s="554"/>
      <c r="L214" s="554"/>
      <c r="M214" s="692"/>
      <c r="N214" s="786"/>
      <c r="O214" s="787"/>
      <c r="P214" s="569"/>
      <c r="Q214" s="615"/>
      <c r="R214" s="569"/>
      <c r="U214" s="669"/>
    </row>
    <row r="215" spans="1:21" ht="12.75">
      <c r="A215" s="555"/>
      <c r="B215" s="556" t="s">
        <v>104</v>
      </c>
      <c r="C215" s="557">
        <f>508579/2</f>
        <v>254289.5</v>
      </c>
      <c r="D215" s="558"/>
      <c r="E215" s="554"/>
      <c r="F215" s="554"/>
      <c r="G215" s="554"/>
      <c r="H215" s="554"/>
      <c r="I215" s="554"/>
      <c r="J215" s="554"/>
      <c r="K215" s="554"/>
      <c r="L215" s="554"/>
      <c r="M215" s="692"/>
      <c r="N215" s="786"/>
      <c r="O215" s="787">
        <f>C215</f>
        <v>254289.5</v>
      </c>
      <c r="P215" s="569"/>
      <c r="Q215" s="615"/>
      <c r="R215" s="569"/>
      <c r="U215" s="669"/>
    </row>
    <row r="216" spans="1:21" ht="12.75">
      <c r="A216" s="555"/>
      <c r="B216" s="556" t="s">
        <v>105</v>
      </c>
      <c r="C216" s="557"/>
      <c r="D216" s="558">
        <v>0</v>
      </c>
      <c r="E216" s="554"/>
      <c r="F216" s="554"/>
      <c r="G216" s="554"/>
      <c r="H216" s="554"/>
      <c r="I216" s="554"/>
      <c r="J216" s="554">
        <f>D216</f>
        <v>0</v>
      </c>
      <c r="K216" s="554"/>
      <c r="L216" s="554"/>
      <c r="M216" s="692"/>
      <c r="N216" s="787"/>
      <c r="O216" s="787"/>
      <c r="P216" s="569"/>
      <c r="Q216" s="615"/>
      <c r="R216" s="569"/>
      <c r="U216" s="669"/>
    </row>
    <row r="217" spans="1:21" ht="12.75">
      <c r="A217" s="555"/>
      <c r="B217" s="694" t="s">
        <v>106</v>
      </c>
      <c r="C217" s="557"/>
      <c r="D217" s="558"/>
      <c r="E217" s="554"/>
      <c r="F217" s="554"/>
      <c r="G217" s="554"/>
      <c r="H217" s="554"/>
      <c r="I217" s="554"/>
      <c r="J217" s="554"/>
      <c r="K217" s="554"/>
      <c r="L217" s="554"/>
      <c r="M217" s="692"/>
      <c r="N217" s="554"/>
      <c r="O217" s="787"/>
      <c r="P217" s="569"/>
      <c r="Q217" s="615"/>
      <c r="R217" s="569"/>
      <c r="U217" s="669"/>
    </row>
    <row r="218" spans="1:21" ht="12.75">
      <c r="A218" s="555"/>
      <c r="B218" s="865"/>
      <c r="C218" s="695"/>
      <c r="D218" s="695"/>
      <c r="E218" s="787"/>
      <c r="F218" s="787"/>
      <c r="G218" s="787"/>
      <c r="H218" s="787"/>
      <c r="I218" s="787"/>
      <c r="J218" s="787"/>
      <c r="K218" s="787"/>
      <c r="L218" s="787"/>
      <c r="M218" s="872"/>
      <c r="N218" s="787"/>
      <c r="O218" s="787"/>
      <c r="P218" s="787"/>
      <c r="Q218" s="788"/>
      <c r="R218" s="788"/>
      <c r="U218" s="669"/>
    </row>
    <row r="219" spans="1:21" ht="12.75">
      <c r="A219" s="555" t="s">
        <v>1203</v>
      </c>
      <c r="B219" s="865" t="s">
        <v>1483</v>
      </c>
      <c r="C219" s="695"/>
      <c r="D219" s="695">
        <v>-21504</v>
      </c>
      <c r="E219" s="787"/>
      <c r="F219" s="787"/>
      <c r="G219" s="787"/>
      <c r="H219" s="787"/>
      <c r="I219" s="787"/>
      <c r="J219" s="787"/>
      <c r="K219" s="787"/>
      <c r="L219" s="787"/>
      <c r="M219" s="872"/>
      <c r="N219" s="787">
        <f>+D219</f>
        <v>-21504</v>
      </c>
      <c r="O219" s="787"/>
      <c r="P219" s="787"/>
      <c r="Q219" s="788"/>
      <c r="R219" s="788"/>
      <c r="U219" s="669"/>
    </row>
    <row r="220" spans="1:21" ht="12.75">
      <c r="A220" s="555"/>
      <c r="B220" s="865" t="s">
        <v>1499</v>
      </c>
      <c r="C220" s="695">
        <v>8519</v>
      </c>
      <c r="D220" s="695"/>
      <c r="E220" s="787"/>
      <c r="F220" s="787"/>
      <c r="G220" s="787"/>
      <c r="H220" s="787"/>
      <c r="I220" s="787"/>
      <c r="J220" s="787"/>
      <c r="K220" s="787"/>
      <c r="L220" s="787"/>
      <c r="M220" s="872"/>
      <c r="N220" s="787"/>
      <c r="O220" s="787">
        <f>+C220</f>
        <v>8519</v>
      </c>
      <c r="P220" s="787"/>
      <c r="Q220" s="788"/>
      <c r="R220" s="788"/>
      <c r="U220" s="669"/>
    </row>
    <row r="221" spans="1:21" ht="12.75">
      <c r="A221" s="555"/>
      <c r="B221" s="865" t="s">
        <v>1484</v>
      </c>
      <c r="C221" s="695">
        <f>-(SUM(D219:D225)+C220+C222)</f>
        <v>12985</v>
      </c>
      <c r="D221" s="695"/>
      <c r="E221" s="787"/>
      <c r="F221" s="787"/>
      <c r="G221" s="787"/>
      <c r="H221" s="787"/>
      <c r="I221" s="787"/>
      <c r="J221" s="787"/>
      <c r="K221" s="787"/>
      <c r="L221" s="787"/>
      <c r="M221" s="872"/>
      <c r="N221" s="787"/>
      <c r="O221" s="787">
        <f>+C221</f>
        <v>12985</v>
      </c>
      <c r="P221" s="787"/>
      <c r="Q221" s="788"/>
      <c r="R221" s="788"/>
      <c r="U221" s="669"/>
    </row>
    <row r="222" spans="1:21" ht="12.75">
      <c r="A222" s="555"/>
      <c r="B222" s="865" t="s">
        <v>394</v>
      </c>
      <c r="C222" s="695">
        <v>6451</v>
      </c>
      <c r="D222" s="695"/>
      <c r="E222" s="787"/>
      <c r="F222" s="787"/>
      <c r="G222" s="787"/>
      <c r="H222" s="787"/>
      <c r="I222" s="787"/>
      <c r="J222" s="787"/>
      <c r="K222" s="787"/>
      <c r="L222" s="787"/>
      <c r="M222" s="872"/>
      <c r="N222" s="787">
        <f>+C222</f>
        <v>6451</v>
      </c>
      <c r="O222" s="787"/>
      <c r="P222" s="787"/>
      <c r="Q222" s="788"/>
      <c r="R222" s="788"/>
      <c r="U222" s="669"/>
    </row>
    <row r="223" spans="1:21" ht="12.75">
      <c r="A223" s="555"/>
      <c r="B223" s="865" t="s">
        <v>395</v>
      </c>
      <c r="C223" s="695">
        <v>0</v>
      </c>
      <c r="D223" s="695">
        <v>-2555</v>
      </c>
      <c r="E223" s="787"/>
      <c r="F223" s="787"/>
      <c r="G223" s="787"/>
      <c r="H223" s="787"/>
      <c r="I223" s="787"/>
      <c r="J223" s="787"/>
      <c r="K223" s="787"/>
      <c r="L223" s="787"/>
      <c r="M223" s="872"/>
      <c r="N223" s="787"/>
      <c r="O223" s="787"/>
      <c r="P223" s="787">
        <f>+D223</f>
        <v>-2555</v>
      </c>
      <c r="Q223" s="788"/>
      <c r="R223" s="788"/>
      <c r="U223" s="669"/>
    </row>
    <row r="224" spans="1:21" ht="12.75">
      <c r="A224" s="555"/>
      <c r="B224" s="865" t="s">
        <v>1485</v>
      </c>
      <c r="C224" s="695"/>
      <c r="D224" s="695"/>
      <c r="E224" s="787"/>
      <c r="F224" s="787"/>
      <c r="G224" s="787"/>
      <c r="H224" s="787"/>
      <c r="I224" s="787"/>
      <c r="J224" s="787">
        <f>+C224</f>
        <v>0</v>
      </c>
      <c r="K224" s="787"/>
      <c r="L224" s="787"/>
      <c r="M224" s="872"/>
      <c r="N224" s="787"/>
      <c r="O224" s="787"/>
      <c r="P224" s="787"/>
      <c r="Q224" s="788"/>
      <c r="R224" s="788"/>
      <c r="U224" s="669"/>
    </row>
    <row r="225" spans="1:21" ht="12.75">
      <c r="A225" s="555"/>
      <c r="B225" s="865" t="s">
        <v>369</v>
      </c>
      <c r="C225" s="695"/>
      <c r="D225" s="695">
        <f>-(C222+D223)</f>
        <v>-3896</v>
      </c>
      <c r="E225" s="787"/>
      <c r="F225" s="787"/>
      <c r="G225" s="787">
        <f>+D225</f>
        <v>-3896</v>
      </c>
      <c r="H225" s="787"/>
      <c r="I225" s="787"/>
      <c r="J225" s="787"/>
      <c r="K225" s="787"/>
      <c r="L225" s="787"/>
      <c r="M225" s="872"/>
      <c r="N225" s="787"/>
      <c r="O225" s="787"/>
      <c r="P225" s="787"/>
      <c r="Q225" s="788"/>
      <c r="R225" s="788"/>
      <c r="U225" s="669"/>
    </row>
    <row r="226" spans="1:21" ht="12.75">
      <c r="A226" s="555"/>
      <c r="B226" s="865" t="s">
        <v>1204</v>
      </c>
      <c r="C226" s="695"/>
      <c r="D226" s="695"/>
      <c r="E226" s="787"/>
      <c r="F226" s="787"/>
      <c r="G226" s="787"/>
      <c r="H226" s="787"/>
      <c r="I226" s="787"/>
      <c r="J226" s="787"/>
      <c r="K226" s="787"/>
      <c r="L226" s="787"/>
      <c r="M226" s="872"/>
      <c r="N226" s="787"/>
      <c r="O226" s="787"/>
      <c r="P226" s="787"/>
      <c r="Q226" s="788"/>
      <c r="R226" s="788"/>
      <c r="U226" s="669"/>
    </row>
    <row r="227" spans="1:21" ht="12.75">
      <c r="A227" s="555"/>
      <c r="B227" s="865"/>
      <c r="C227" s="695"/>
      <c r="D227" s="695"/>
      <c r="E227" s="787"/>
      <c r="F227" s="787"/>
      <c r="G227" s="787"/>
      <c r="H227" s="787"/>
      <c r="I227" s="787"/>
      <c r="J227" s="787"/>
      <c r="K227" s="787"/>
      <c r="L227" s="787"/>
      <c r="M227" s="872"/>
      <c r="N227" s="787"/>
      <c r="O227" s="787"/>
      <c r="P227" s="877"/>
      <c r="Q227" s="788"/>
      <c r="R227" s="788"/>
      <c r="U227" s="669"/>
    </row>
    <row r="228" spans="1:21" ht="12.75">
      <c r="A228" s="555" t="s">
        <v>627</v>
      </c>
      <c r="B228" s="865" t="s">
        <v>664</v>
      </c>
      <c r="C228" s="695">
        <f>84103252-194769</f>
        <v>83908483</v>
      </c>
      <c r="D228" s="695"/>
      <c r="E228" s="787"/>
      <c r="F228" s="787"/>
      <c r="G228" s="787"/>
      <c r="H228" s="787"/>
      <c r="I228" s="787"/>
      <c r="J228" s="787"/>
      <c r="K228" s="787"/>
      <c r="L228" s="787">
        <f>+C228</f>
        <v>83908483</v>
      </c>
      <c r="M228" s="872"/>
      <c r="N228" s="787"/>
      <c r="O228" s="787"/>
      <c r="P228" s="877"/>
      <c r="Q228" s="788"/>
      <c r="R228" s="788"/>
      <c r="U228" s="669"/>
    </row>
    <row r="229" spans="1:21" ht="12.75">
      <c r="A229" s="555"/>
      <c r="B229" s="865" t="s">
        <v>628</v>
      </c>
      <c r="C229" s="695"/>
      <c r="D229" s="695">
        <f>-+C228</f>
        <v>-83908483</v>
      </c>
      <c r="E229" s="787"/>
      <c r="F229" s="787"/>
      <c r="G229" s="787"/>
      <c r="H229" s="787"/>
      <c r="I229" s="787">
        <f>+D229</f>
        <v>-83908483</v>
      </c>
      <c r="J229" s="787"/>
      <c r="K229" s="787"/>
      <c r="L229" s="787"/>
      <c r="M229" s="872"/>
      <c r="N229" s="787"/>
      <c r="O229" s="787"/>
      <c r="P229" s="877"/>
      <c r="Q229" s="788"/>
      <c r="R229" s="788"/>
      <c r="U229" s="669"/>
    </row>
    <row r="230" spans="1:21" ht="12.75">
      <c r="A230" s="555"/>
      <c r="B230" s="865" t="s">
        <v>631</v>
      </c>
      <c r="C230" s="695"/>
      <c r="D230" s="695"/>
      <c r="E230" s="787"/>
      <c r="F230" s="787"/>
      <c r="G230" s="787"/>
      <c r="H230" s="787"/>
      <c r="I230" s="787"/>
      <c r="J230" s="787"/>
      <c r="K230" s="787"/>
      <c r="L230" s="787"/>
      <c r="M230" s="872"/>
      <c r="N230" s="787"/>
      <c r="O230" s="787"/>
      <c r="P230" s="877"/>
      <c r="Q230" s="788"/>
      <c r="R230" s="788"/>
      <c r="U230" s="669"/>
    </row>
    <row r="231" spans="1:21" ht="12.75">
      <c r="A231" s="555"/>
      <c r="B231" s="865"/>
      <c r="C231" s="695"/>
      <c r="D231" s="695"/>
      <c r="E231" s="787"/>
      <c r="F231" s="787"/>
      <c r="G231" s="787"/>
      <c r="H231" s="787"/>
      <c r="I231" s="787"/>
      <c r="J231" s="787"/>
      <c r="K231" s="787"/>
      <c r="L231" s="787"/>
      <c r="M231" s="872"/>
      <c r="N231" s="787"/>
      <c r="O231" s="787"/>
      <c r="P231" s="877"/>
      <c r="Q231" s="788"/>
      <c r="R231" s="788"/>
      <c r="U231" s="669"/>
    </row>
    <row r="232" spans="1:21" ht="12.75">
      <c r="A232" s="555"/>
      <c r="B232" s="865"/>
      <c r="C232" s="695"/>
      <c r="D232" s="695"/>
      <c r="E232" s="787"/>
      <c r="F232" s="787"/>
      <c r="G232" s="787"/>
      <c r="H232" s="787"/>
      <c r="I232" s="787"/>
      <c r="J232" s="787"/>
      <c r="K232" s="787"/>
      <c r="L232" s="787"/>
      <c r="M232" s="872"/>
      <c r="N232" s="787"/>
      <c r="O232" s="787"/>
      <c r="P232" s="877"/>
      <c r="Q232" s="788"/>
      <c r="R232" s="788"/>
      <c r="U232" s="669"/>
    </row>
    <row r="233" spans="1:21" ht="12.75">
      <c r="A233" s="707"/>
      <c r="B233" s="707"/>
      <c r="C233" s="668">
        <f aca="true" t="shared" si="1" ref="C233:P233">SUM(C6:C232)</f>
        <v>387061406.49</v>
      </c>
      <c r="D233" s="668">
        <f t="shared" si="1"/>
        <v>-387061406.49</v>
      </c>
      <c r="E233" s="668">
        <f t="shared" si="1"/>
        <v>25350010.000000004</v>
      </c>
      <c r="F233" s="668">
        <f t="shared" si="1"/>
        <v>0</v>
      </c>
      <c r="G233" s="668">
        <f t="shared" si="1"/>
        <v>-61763886.99999999</v>
      </c>
      <c r="H233" s="668">
        <f t="shared" si="1"/>
        <v>-1091784</v>
      </c>
      <c r="I233" s="668">
        <f t="shared" si="1"/>
        <v>-95065915.69</v>
      </c>
      <c r="J233" s="668">
        <f t="shared" si="1"/>
        <v>9126518.7</v>
      </c>
      <c r="K233" s="668">
        <f t="shared" si="1"/>
        <v>-2084460</v>
      </c>
      <c r="L233" s="668">
        <f t="shared" si="1"/>
        <v>86197016</v>
      </c>
      <c r="M233" s="668">
        <f t="shared" si="1"/>
        <v>54739513.589999996</v>
      </c>
      <c r="N233" s="878">
        <f t="shared" si="1"/>
        <v>-22561460.900000006</v>
      </c>
      <c r="O233" s="668">
        <f t="shared" si="1"/>
        <v>-812382.7</v>
      </c>
      <c r="P233" s="880">
        <f t="shared" si="1"/>
        <v>7966832</v>
      </c>
      <c r="Q233" s="668">
        <f>SUM(Q6:Q217)</f>
        <v>0</v>
      </c>
      <c r="R233" s="668">
        <f>SUM(R6:R217)</f>
        <v>0</v>
      </c>
      <c r="S233" s="871">
        <f>SUM(E233:P233)</f>
        <v>1.0244548320770264E-08</v>
      </c>
      <c r="U233" s="669"/>
    </row>
    <row r="234" spans="1:18" ht="12.75">
      <c r="A234" s="707"/>
      <c r="B234" s="707"/>
      <c r="C234" s="668"/>
      <c r="D234" s="668">
        <f>C233+D233</f>
        <v>0</v>
      </c>
      <c r="E234" s="668"/>
      <c r="F234" s="668"/>
      <c r="G234" s="668"/>
      <c r="H234" s="668"/>
      <c r="I234" s="668"/>
      <c r="J234" s="668"/>
      <c r="K234" s="668"/>
      <c r="L234" s="668"/>
      <c r="M234" s="668"/>
      <c r="N234" s="879"/>
      <c r="O234" s="788"/>
      <c r="P234" s="789"/>
      <c r="Q234" s="668"/>
      <c r="R234" s="668"/>
    </row>
    <row r="235" spans="4:16" ht="13.5" thickBot="1">
      <c r="D235" s="669"/>
      <c r="E235" s="669"/>
      <c r="G235" s="668">
        <f>-53797.055*1000</f>
        <v>-53797055</v>
      </c>
      <c r="H235" s="669"/>
      <c r="K235" s="669"/>
      <c r="M235" s="669"/>
      <c r="N235" s="790"/>
      <c r="O235" s="791"/>
      <c r="P235" s="792"/>
    </row>
    <row r="236" spans="5:7" ht="12.75">
      <c r="E236" s="669"/>
      <c r="G236" s="669">
        <f>G233-G235</f>
        <v>-7966831.999999993</v>
      </c>
    </row>
    <row r="237" spans="7:16" ht="12.75">
      <c r="G237" s="669">
        <f>G236+P233</f>
        <v>7.450580596923828E-09</v>
      </c>
      <c r="N237" s="669"/>
      <c r="P237" s="669">
        <f>G237</f>
        <v>7.450580596923828E-09</v>
      </c>
    </row>
    <row r="238" spans="7:16" ht="12.75">
      <c r="G238" s="669"/>
      <c r="P238" s="669"/>
    </row>
    <row r="239" spans="7:16" ht="12.75">
      <c r="G239" s="669"/>
      <c r="P239" s="669"/>
    </row>
  </sheetData>
  <printOptions horizontalCentered="1" verticalCentered="1"/>
  <pageMargins left="0.25" right="0.25" top="0.24" bottom="0.24" header="0.24" footer="0.24"/>
  <pageSetup fitToHeight="4" horizontalDpi="300" verticalDpi="300" orientation="landscape" paperSize="9" scale="59" r:id="rId3"/>
  <headerFooter alignWithMargins="0">
    <oddHeader>&amp;R&amp;D  &amp;T</oddHeader>
  </headerFooter>
  <rowBreaks count="3" manualBreakCount="3">
    <brk id="52" max="15" man="1"/>
    <brk id="104" max="15" man="1"/>
    <brk id="154" max="15" man="1"/>
  </rowBreaks>
  <legacyDrawing r:id="rId2"/>
</worksheet>
</file>

<file path=xl/worksheets/sheet26.xml><?xml version="1.0" encoding="utf-8"?>
<worksheet xmlns="http://schemas.openxmlformats.org/spreadsheetml/2006/main" xmlns:r="http://schemas.openxmlformats.org/officeDocument/2006/relationships">
  <dimension ref="A1:P173"/>
  <sheetViews>
    <sheetView zoomScaleSheetLayoutView="100" workbookViewId="0" topLeftCell="B44">
      <selection activeCell="P52" sqref="P52"/>
    </sheetView>
  </sheetViews>
  <sheetFormatPr defaultColWidth="9.140625" defaultRowHeight="12.75"/>
  <cols>
    <col min="1" max="1" width="23.57421875" style="367" customWidth="1"/>
    <col min="2" max="2" width="5.8515625" style="367" customWidth="1"/>
    <col min="3" max="3" width="10.28125" style="367" customWidth="1"/>
    <col min="4" max="4" width="17.28125" style="367" customWidth="1"/>
    <col min="5" max="5" width="3.7109375" style="367" customWidth="1"/>
    <col min="6" max="6" width="17.00390625" style="367" customWidth="1"/>
    <col min="7" max="7" width="4.140625" style="367" customWidth="1"/>
    <col min="8" max="8" width="14.28125" style="367" bestFit="1" customWidth="1"/>
    <col min="9" max="9" width="5.7109375" style="367" bestFit="1" customWidth="1"/>
    <col min="10" max="10" width="5.28125" style="367" customWidth="1"/>
    <col min="11" max="11" width="13.57421875" style="367" customWidth="1"/>
    <col min="12" max="12" width="8.8515625" style="367" customWidth="1"/>
    <col min="13" max="13" width="14.421875" style="367" bestFit="1" customWidth="1"/>
    <col min="14" max="14" width="8.8515625" style="367" customWidth="1"/>
    <col min="15" max="15" width="12.00390625" style="367" customWidth="1"/>
    <col min="16" max="16" width="17.7109375" style="367" customWidth="1"/>
    <col min="17" max="16384" width="8.8515625" style="367" customWidth="1"/>
  </cols>
  <sheetData>
    <row r="1" ht="12.75">
      <c r="A1" s="379" t="s">
        <v>1087</v>
      </c>
    </row>
    <row r="2" ht="12.75">
      <c r="A2" s="379" t="s">
        <v>1486</v>
      </c>
    </row>
    <row r="3" spans="6:7" ht="12.75">
      <c r="F3" s="372"/>
      <c r="G3" s="372"/>
    </row>
    <row r="4" spans="4:10" ht="12.75">
      <c r="D4" s="389" t="s">
        <v>1487</v>
      </c>
      <c r="E4" s="389"/>
      <c r="F4" s="409"/>
      <c r="G4" s="409"/>
      <c r="I4" s="1111" t="s">
        <v>318</v>
      </c>
      <c r="J4" s="1112"/>
    </row>
    <row r="5" spans="4:10" ht="12.75">
      <c r="D5" s="390" t="s">
        <v>967</v>
      </c>
      <c r="E5" s="390"/>
      <c r="F5" s="410"/>
      <c r="G5" s="410"/>
      <c r="H5" s="390"/>
      <c r="J5" s="382"/>
    </row>
    <row r="6" spans="1:10" ht="12.75">
      <c r="A6" s="379" t="s">
        <v>1090</v>
      </c>
      <c r="D6" s="369"/>
      <c r="E6" s="369"/>
      <c r="F6" s="372"/>
      <c r="G6" s="372"/>
      <c r="J6" s="580" t="s">
        <v>573</v>
      </c>
    </row>
    <row r="7" spans="1:10" ht="12.75">
      <c r="A7" s="367" t="s">
        <v>312</v>
      </c>
      <c r="D7" s="376">
        <f>ROUND((46558756.1),0)</f>
        <v>46558756</v>
      </c>
      <c r="E7" s="376"/>
      <c r="F7" s="412"/>
      <c r="G7" s="412"/>
      <c r="I7" s="1111" t="s">
        <v>518</v>
      </c>
      <c r="J7" s="1112"/>
    </row>
    <row r="8" spans="1:10" ht="12.75">
      <c r="A8" s="367" t="s">
        <v>1073</v>
      </c>
      <c r="D8" s="466">
        <v>203470</v>
      </c>
      <c r="E8" s="466"/>
      <c r="F8" s="412"/>
      <c r="G8" s="412"/>
      <c r="J8" s="382"/>
    </row>
    <row r="9" spans="1:10" ht="12.75">
      <c r="A9" s="367" t="s">
        <v>1074</v>
      </c>
      <c r="B9" s="367" t="s">
        <v>580</v>
      </c>
      <c r="D9" s="466">
        <v>8751607</v>
      </c>
      <c r="E9" s="466"/>
      <c r="F9" s="412"/>
      <c r="G9" s="412"/>
      <c r="J9" s="580" t="s">
        <v>574</v>
      </c>
    </row>
    <row r="10" spans="1:10" ht="12.75">
      <c r="A10" s="367" t="s">
        <v>1075</v>
      </c>
      <c r="B10" s="367" t="s">
        <v>580</v>
      </c>
      <c r="D10" s="466">
        <v>10821027</v>
      </c>
      <c r="E10" s="807"/>
      <c r="F10" s="412"/>
      <c r="G10" s="412"/>
      <c r="I10" s="1111" t="s">
        <v>572</v>
      </c>
      <c r="J10" s="1112"/>
    </row>
    <row r="11" spans="1:7" ht="12.75">
      <c r="A11" s="367" t="s">
        <v>842</v>
      </c>
      <c r="D11" s="376">
        <f>16024193+158333</f>
        <v>16182526</v>
      </c>
      <c r="E11" s="376"/>
      <c r="F11" s="412"/>
      <c r="G11" s="412"/>
    </row>
    <row r="12" spans="1:7" ht="12.75">
      <c r="A12" s="367" t="s">
        <v>1091</v>
      </c>
      <c r="D12" s="411"/>
      <c r="E12" s="411"/>
      <c r="F12" s="412"/>
      <c r="G12" s="412"/>
    </row>
    <row r="13" spans="1:7" ht="13.5" customHeight="1">
      <c r="A13" s="367" t="s">
        <v>1088</v>
      </c>
      <c r="D13" s="376">
        <v>11593080</v>
      </c>
      <c r="E13" s="799"/>
      <c r="F13" s="799"/>
      <c r="G13" s="799"/>
    </row>
    <row r="14" spans="1:7" ht="13.5" customHeight="1">
      <c r="A14" s="367" t="s">
        <v>278</v>
      </c>
      <c r="D14" s="376">
        <v>-158333</v>
      </c>
      <c r="E14" s="799"/>
      <c r="F14" s="799"/>
      <c r="G14" s="799"/>
    </row>
    <row r="15" spans="1:7" ht="13.5" customHeight="1">
      <c r="A15" s="403" t="s">
        <v>1089</v>
      </c>
      <c r="D15" s="376">
        <v>297012</v>
      </c>
      <c r="E15" s="799"/>
      <c r="F15" s="799"/>
      <c r="G15" s="799"/>
    </row>
    <row r="16" spans="1:7" ht="13.5" thickBot="1">
      <c r="A16" s="367" t="s">
        <v>953</v>
      </c>
      <c r="D16" s="414">
        <f>SUM(D7:D15)</f>
        <v>94249145</v>
      </c>
      <c r="E16" s="801"/>
      <c r="F16" s="801"/>
      <c r="G16" s="801"/>
    </row>
    <row r="17" spans="4:7" ht="13.5" thickTop="1">
      <c r="D17" s="415"/>
      <c r="E17" s="415"/>
      <c r="F17" s="372"/>
      <c r="G17" s="372"/>
    </row>
    <row r="18" ht="12.75">
      <c r="A18" s="388" t="s">
        <v>575</v>
      </c>
    </row>
    <row r="19" ht="12.75">
      <c r="A19" s="388"/>
    </row>
    <row r="20" spans="4:8" ht="12.75">
      <c r="D20" s="390" t="s">
        <v>1092</v>
      </c>
      <c r="E20" s="390"/>
      <c r="F20" s="390" t="s">
        <v>829</v>
      </c>
      <c r="G20" s="390"/>
      <c r="H20" s="390" t="s">
        <v>1093</v>
      </c>
    </row>
    <row r="21" spans="4:8" ht="12.75">
      <c r="D21" s="390" t="s">
        <v>967</v>
      </c>
      <c r="E21" s="390"/>
      <c r="F21" s="390" t="s">
        <v>967</v>
      </c>
      <c r="G21" s="390"/>
      <c r="H21" s="390" t="s">
        <v>967</v>
      </c>
    </row>
    <row r="22" spans="1:9" ht="12.75">
      <c r="A22" s="367" t="s">
        <v>1488</v>
      </c>
      <c r="D22" s="427">
        <f>ROUND((12881200),0)</f>
        <v>12881200</v>
      </c>
      <c r="E22" s="427"/>
      <c r="F22" s="427">
        <f>ROUND((1288120),0)</f>
        <v>1288120</v>
      </c>
      <c r="G22" s="427"/>
      <c r="H22" s="427">
        <f>D22-F22</f>
        <v>11593080</v>
      </c>
      <c r="I22" s="403"/>
    </row>
    <row r="23" spans="1:9" ht="12.75">
      <c r="A23" s="367" t="s">
        <v>1489</v>
      </c>
      <c r="D23" s="427">
        <f>ROUND((330013.83),0)</f>
        <v>330014</v>
      </c>
      <c r="E23" s="427"/>
      <c r="F23" s="427">
        <f>ROUND((33001.38),0)</f>
        <v>33001</v>
      </c>
      <c r="G23" s="427"/>
      <c r="H23" s="427">
        <f>D23-F23</f>
        <v>297013</v>
      </c>
      <c r="I23" s="403"/>
    </row>
    <row r="24" spans="1:8" s="546" customFormat="1" ht="12.75">
      <c r="A24" s="368" t="s">
        <v>501</v>
      </c>
      <c r="D24" s="645">
        <f>ROUND((-175926.57),0)</f>
        <v>-175927</v>
      </c>
      <c r="E24" s="645"/>
      <c r="F24" s="645">
        <f>ROUND((D24*10%),0)</f>
        <v>-17593</v>
      </c>
      <c r="G24" s="645"/>
      <c r="H24" s="645">
        <f>D24-F24</f>
        <v>-158334</v>
      </c>
    </row>
    <row r="25" spans="4:11" ht="12.75">
      <c r="D25" s="429">
        <f>D22+D24+D23</f>
        <v>13035287</v>
      </c>
      <c r="E25" s="429"/>
      <c r="F25" s="429">
        <f>F22+F24+F23</f>
        <v>1303528</v>
      </c>
      <c r="G25" s="429"/>
      <c r="H25" s="429">
        <f>SUM(H22:H24)</f>
        <v>11731759</v>
      </c>
      <c r="I25" s="403"/>
      <c r="K25" s="415">
        <f>'[6]FJK'!$H$25</f>
        <v>11731759</v>
      </c>
    </row>
    <row r="26" spans="1:8" s="368" customFormat="1" ht="25.5">
      <c r="A26" s="547" t="s">
        <v>1182</v>
      </c>
      <c r="D26" s="548">
        <v>0</v>
      </c>
      <c r="E26" s="548"/>
      <c r="F26" s="548">
        <v>0</v>
      </c>
      <c r="G26" s="548"/>
      <c r="H26" s="548">
        <f>D26-F26</f>
        <v>0</v>
      </c>
    </row>
    <row r="27" spans="1:8" s="416" customFormat="1" ht="12.75">
      <c r="A27" s="431" t="s">
        <v>1181</v>
      </c>
      <c r="D27" s="432">
        <v>0</v>
      </c>
      <c r="E27" s="432"/>
      <c r="F27" s="432">
        <v>0</v>
      </c>
      <c r="G27" s="432"/>
      <c r="H27" s="428">
        <f>D27-F27</f>
        <v>0</v>
      </c>
    </row>
    <row r="28" spans="4:8" ht="12.75">
      <c r="D28" s="433">
        <f>SUM(D25:D27)</f>
        <v>13035287</v>
      </c>
      <c r="E28" s="433"/>
      <c r="F28" s="433">
        <f>SUM(F25:F27)</f>
        <v>1303528</v>
      </c>
      <c r="G28" s="433"/>
      <c r="H28" s="433">
        <f>SUM(H25:H27)</f>
        <v>11731759</v>
      </c>
    </row>
    <row r="29" spans="4:8" ht="12.75">
      <c r="D29" s="427"/>
      <c r="E29" s="427"/>
      <c r="F29" s="427"/>
      <c r="G29" s="427"/>
      <c r="H29" s="427"/>
    </row>
    <row r="30" spans="1:8" ht="12.75">
      <c r="A30" s="367" t="s">
        <v>1491</v>
      </c>
      <c r="H30" s="368">
        <f>0.25*0.4709</f>
        <v>0.117725</v>
      </c>
    </row>
    <row r="31" spans="4:8" ht="12.75">
      <c r="D31" s="390" t="s">
        <v>317</v>
      </c>
      <c r="E31" s="390"/>
      <c r="F31" s="390" t="s">
        <v>317</v>
      </c>
      <c r="G31" s="390"/>
      <c r="H31" s="450" t="s">
        <v>317</v>
      </c>
    </row>
    <row r="32" spans="1:8" ht="12.75">
      <c r="A32" s="367" t="str">
        <f>+A22</f>
        <v>1.1.2006 to 31.12.2006</v>
      </c>
      <c r="D32" s="427">
        <f>ROUND((D22*H30),0)</f>
        <v>1516439</v>
      </c>
      <c r="E32" s="427"/>
      <c r="F32" s="427">
        <f>ROUND((F22*H30),0)</f>
        <v>151644</v>
      </c>
      <c r="G32" s="427"/>
      <c r="H32" s="427">
        <f>D32-F32</f>
        <v>1364795</v>
      </c>
    </row>
    <row r="33" spans="1:8" ht="12.75">
      <c r="A33" s="367" t="s">
        <v>1490</v>
      </c>
      <c r="D33" s="427">
        <f>ROUND((D23*H30),0)</f>
        <v>38851</v>
      </c>
      <c r="E33" s="427"/>
      <c r="F33" s="427">
        <f>ROUND((F23*H30),0)</f>
        <v>3885</v>
      </c>
      <c r="G33" s="427"/>
      <c r="H33" s="427">
        <f>D33-F33</f>
        <v>34966</v>
      </c>
    </row>
    <row r="34" spans="1:8" ht="12.75">
      <c r="A34" s="367" t="str">
        <f>+A24</f>
        <v>Less : Profit on Jan 2006</v>
      </c>
      <c r="D34" s="434">
        <f>ROUND((D24*H30),0)</f>
        <v>-20711</v>
      </c>
      <c r="E34" s="434"/>
      <c r="F34" s="434">
        <f>ROUND((F24*H30),0)</f>
        <v>-2071</v>
      </c>
      <c r="G34" s="434"/>
      <c r="H34" s="434">
        <f>D34-F34</f>
        <v>-18640</v>
      </c>
    </row>
    <row r="35" spans="4:11" ht="12.75">
      <c r="D35" s="427">
        <f>SUM(D32:D34)</f>
        <v>1534579</v>
      </c>
      <c r="E35" s="427"/>
      <c r="F35" s="427">
        <f>SUM(F32:F34)</f>
        <v>153458</v>
      </c>
      <c r="G35" s="427"/>
      <c r="H35" s="427">
        <f>SUM(H32:H34)</f>
        <v>1381121</v>
      </c>
      <c r="K35" s="415">
        <f>'[6]FJK'!$H$35</f>
        <v>1381121</v>
      </c>
    </row>
    <row r="36" spans="1:8" ht="25.5">
      <c r="A36" s="430" t="s">
        <v>1182</v>
      </c>
      <c r="D36" s="428">
        <f>D26*H30</f>
        <v>0</v>
      </c>
      <c r="E36" s="428"/>
      <c r="F36" s="428">
        <f>F26*H30</f>
        <v>0</v>
      </c>
      <c r="G36" s="428"/>
      <c r="H36" s="428">
        <f>D36-F36</f>
        <v>0</v>
      </c>
    </row>
    <row r="37" spans="1:8" ht="12.75">
      <c r="A37" s="431" t="s">
        <v>1181</v>
      </c>
      <c r="D37" s="428">
        <f>D27*H30</f>
        <v>0</v>
      </c>
      <c r="E37" s="428"/>
      <c r="F37" s="428">
        <f>F27*H30</f>
        <v>0</v>
      </c>
      <c r="G37" s="428"/>
      <c r="H37" s="428">
        <f>D37-F37</f>
        <v>0</v>
      </c>
    </row>
    <row r="38" spans="4:11" ht="12.75">
      <c r="D38" s="648">
        <f>SUM(D35:D37)</f>
        <v>1534579</v>
      </c>
      <c r="E38" s="804"/>
      <c r="F38" s="565">
        <f>SUM(F35:F37)</f>
        <v>153458</v>
      </c>
      <c r="G38" s="805"/>
      <c r="H38" s="565">
        <f>SUM(H35:H37)</f>
        <v>1381121</v>
      </c>
      <c r="I38" s="403"/>
      <c r="K38" s="415"/>
    </row>
    <row r="39" ht="12.75">
      <c r="D39" s="369" t="s">
        <v>800</v>
      </c>
    </row>
    <row r="40" ht="12.75" hidden="1"/>
    <row r="41" spans="1:11" ht="12.75">
      <c r="A41" s="388" t="s">
        <v>1094</v>
      </c>
      <c r="K41" s="390"/>
    </row>
    <row r="42" ht="12.75">
      <c r="K42" s="391"/>
    </row>
    <row r="43" spans="4:8" ht="12.75">
      <c r="D43" s="390" t="s">
        <v>967</v>
      </c>
      <c r="E43" s="390"/>
      <c r="F43" s="390" t="s">
        <v>1095</v>
      </c>
      <c r="G43" s="390"/>
      <c r="H43" s="390" t="s">
        <v>317</v>
      </c>
    </row>
    <row r="44" spans="1:11" ht="12.75">
      <c r="A44" s="800" t="s">
        <v>577</v>
      </c>
      <c r="C44" s="802"/>
      <c r="D44" s="415">
        <f>+D16</f>
        <v>94249145</v>
      </c>
      <c r="E44" s="803"/>
      <c r="F44" s="367">
        <v>0.4709</v>
      </c>
      <c r="H44" s="376">
        <f>ROUND((+D44*F44),0)</f>
        <v>44381922</v>
      </c>
      <c r="K44" s="415">
        <f>'[6]FJK'!$H$44</f>
        <v>44381922</v>
      </c>
    </row>
    <row r="45" ht="12.75"/>
    <row r="46" spans="1:8" ht="12.75">
      <c r="A46" s="367" t="s">
        <v>1096</v>
      </c>
      <c r="B46" s="417">
        <v>0.25</v>
      </c>
      <c r="D46" s="376">
        <f>ROUND((+D44*B46),0)</f>
        <v>23562286</v>
      </c>
      <c r="E46" s="376"/>
      <c r="F46" s="367">
        <f>+F44</f>
        <v>0.4709</v>
      </c>
      <c r="H46" s="418">
        <f>ROUND((+D46*F46),0)-1</f>
        <v>11095479</v>
      </c>
    </row>
    <row r="47" spans="1:11" ht="12.75">
      <c r="A47" s="367" t="s">
        <v>1438</v>
      </c>
      <c r="D47" s="376">
        <v>0</v>
      </c>
      <c r="E47" s="376"/>
      <c r="F47" s="367">
        <f>+F46</f>
        <v>0.4709</v>
      </c>
      <c r="H47" s="418">
        <f>ROUND(+D47*F47,2)</f>
        <v>0</v>
      </c>
      <c r="K47" s="411"/>
    </row>
    <row r="48" spans="8:9" ht="12.75">
      <c r="H48" s="419">
        <f>SUM(H46:H47)</f>
        <v>11095479</v>
      </c>
      <c r="I48" s="367" t="s">
        <v>801</v>
      </c>
    </row>
    <row r="49" ht="12.75"/>
    <row r="50" spans="1:8" ht="12.75">
      <c r="A50" s="800" t="s">
        <v>578</v>
      </c>
      <c r="D50" s="415">
        <f>+H28</f>
        <v>11731759</v>
      </c>
      <c r="E50" s="803"/>
      <c r="F50" s="367">
        <f>+F46</f>
        <v>0.4709</v>
      </c>
      <c r="H50" s="376">
        <f>ROUND((+D50*F50),0)</f>
        <v>5524485</v>
      </c>
    </row>
    <row r="51" spans="4:5" ht="12.75">
      <c r="D51" s="413"/>
      <c r="E51" s="413"/>
    </row>
    <row r="52" spans="1:11" ht="12.75">
      <c r="A52" s="367" t="s">
        <v>1096</v>
      </c>
      <c r="B52" s="417">
        <v>0.25</v>
      </c>
      <c r="D52" s="376">
        <f>ROUND((+D50*B52),0)</f>
        <v>2932940</v>
      </c>
      <c r="E52" s="376"/>
      <c r="F52" s="367">
        <f>+F50</f>
        <v>0.4709</v>
      </c>
      <c r="H52" s="353">
        <f>ROUND((+D52*F52),0)</f>
        <v>1381121</v>
      </c>
      <c r="I52" s="367" t="s">
        <v>802</v>
      </c>
      <c r="K52" s="415">
        <f>'[6]FJK'!$H$52</f>
        <v>1381121</v>
      </c>
    </row>
    <row r="53" spans="2:9" ht="12.75">
      <c r="B53" s="417"/>
      <c r="D53" s="376"/>
      <c r="E53" s="376"/>
      <c r="H53" s="418"/>
      <c r="I53" s="403"/>
    </row>
    <row r="54" spans="4:13" ht="12.75">
      <c r="D54" s="412"/>
      <c r="E54" s="412"/>
      <c r="F54" s="420"/>
      <c r="G54" s="420"/>
      <c r="H54" s="412"/>
      <c r="K54" s="1113" t="s">
        <v>576</v>
      </c>
      <c r="L54" s="1114"/>
      <c r="M54" s="1114"/>
    </row>
    <row r="55" ht="12.75" hidden="1"/>
    <row r="56" spans="8:13" ht="12.75">
      <c r="H56" s="389" t="s">
        <v>969</v>
      </c>
      <c r="K56" s="389" t="s">
        <v>344</v>
      </c>
      <c r="M56" s="389" t="s">
        <v>1256</v>
      </c>
    </row>
    <row r="57" spans="8:13" ht="12.75">
      <c r="H57" s="435">
        <v>0.25</v>
      </c>
      <c r="K57" s="391">
        <v>0.4</v>
      </c>
      <c r="M57" s="806" t="s">
        <v>573</v>
      </c>
    </row>
    <row r="58" spans="8:13" ht="12.75">
      <c r="H58" s="435" t="s">
        <v>317</v>
      </c>
      <c r="K58" s="391" t="s">
        <v>317</v>
      </c>
      <c r="M58" s="390" t="s">
        <v>317</v>
      </c>
    </row>
    <row r="59" spans="1:7" ht="12.75">
      <c r="A59" s="379" t="s">
        <v>1097</v>
      </c>
      <c r="F59" s="420"/>
      <c r="G59" s="420"/>
    </row>
    <row r="60" spans="1:16" ht="12.75">
      <c r="A60" s="367" t="s">
        <v>1098</v>
      </c>
      <c r="F60" s="413"/>
      <c r="G60" s="413"/>
      <c r="H60" s="646">
        <f>ROUND((754875.72),0)</f>
        <v>754876</v>
      </c>
      <c r="I60" s="367" t="s">
        <v>800</v>
      </c>
      <c r="O60" s="352"/>
      <c r="P60" s="415"/>
    </row>
    <row r="61" spans="1:16" s="368" customFormat="1" ht="12.75">
      <c r="A61" s="368" t="s">
        <v>608</v>
      </c>
      <c r="F61" s="412"/>
      <c r="G61" s="412"/>
      <c r="H61" s="646">
        <f>ROUND((2003644+1194362-130471+1018324.05-134288.43-105809-108192+1168150.63-115522.71+2235983.13-218164.21+1885172.77-218497.97+2369220.74-257151.24+3825+1623248-162325),0)</f>
        <v>12051509</v>
      </c>
      <c r="I61" s="368" t="s">
        <v>793</v>
      </c>
      <c r="K61" s="466">
        <f>ROUND((H61*$K$57),0)</f>
        <v>4820604</v>
      </c>
      <c r="O61" s="375"/>
      <c r="P61" s="415"/>
    </row>
    <row r="62" spans="1:16" ht="12.75">
      <c r="A62" s="367" t="s">
        <v>1154</v>
      </c>
      <c r="F62" s="413"/>
      <c r="G62" s="413"/>
      <c r="H62" s="646">
        <f>214001</f>
        <v>214001</v>
      </c>
      <c r="I62" s="367" t="s">
        <v>800</v>
      </c>
      <c r="K62" s="376">
        <f>ROUND((H62*$K$57),0)</f>
        <v>85600</v>
      </c>
      <c r="M62" s="415"/>
      <c r="O62" s="352"/>
      <c r="P62" s="415"/>
    </row>
    <row r="63" spans="1:16" ht="12.75" hidden="1">
      <c r="A63" s="367" t="s">
        <v>1388</v>
      </c>
      <c r="F63" s="413"/>
      <c r="G63" s="413"/>
      <c r="H63" s="418"/>
      <c r="K63" s="376">
        <f>ROUND(H63*$K$57,2)</f>
        <v>0</v>
      </c>
      <c r="M63" s="415"/>
      <c r="O63" s="352"/>
      <c r="P63" s="415"/>
    </row>
    <row r="64" spans="1:16" ht="12.75">
      <c r="A64" s="367" t="s">
        <v>1099</v>
      </c>
      <c r="F64" s="413"/>
      <c r="G64" s="413"/>
      <c r="H64" s="646">
        <f>+D38</f>
        <v>1534579</v>
      </c>
      <c r="I64" s="367" t="s">
        <v>800</v>
      </c>
      <c r="K64" s="376">
        <f>ROUND((H64*$K$57),0)</f>
        <v>613832</v>
      </c>
      <c r="O64" s="352"/>
      <c r="P64" s="415"/>
    </row>
    <row r="65" spans="1:16" ht="12.75">
      <c r="A65" s="367" t="s">
        <v>1321</v>
      </c>
      <c r="F65" s="413"/>
      <c r="G65" s="413"/>
      <c r="H65" s="418">
        <f>-F38</f>
        <v>-153458</v>
      </c>
      <c r="I65" s="367" t="s">
        <v>945</v>
      </c>
      <c r="K65" s="376">
        <f>ROUND((H65*$K$57),0)</f>
        <v>-61383</v>
      </c>
      <c r="L65" s="367" t="s">
        <v>806</v>
      </c>
      <c r="O65" s="352"/>
      <c r="P65" s="415"/>
    </row>
    <row r="66" spans="1:16" ht="12.75">
      <c r="A66" s="367" t="s">
        <v>1320</v>
      </c>
      <c r="F66" s="413"/>
      <c r="G66" s="413"/>
      <c r="H66" s="646">
        <f>-850342-1043893-1575064-1770275</f>
        <v>-5239574</v>
      </c>
      <c r="I66" s="367" t="s">
        <v>793</v>
      </c>
      <c r="K66" s="376">
        <f>ROUND((H66*$K$57),0)</f>
        <v>-2095830</v>
      </c>
      <c r="O66" s="352"/>
      <c r="P66" s="415"/>
    </row>
    <row r="67" spans="1:16" ht="12.75">
      <c r="A67" s="367" t="s">
        <v>1434</v>
      </c>
      <c r="F67" s="413"/>
      <c r="G67" s="413"/>
      <c r="H67" s="418">
        <v>-911373</v>
      </c>
      <c r="K67" s="376">
        <f>ROUND((H67*$K$57),0)</f>
        <v>-364549</v>
      </c>
      <c r="O67" s="352"/>
      <c r="P67" s="415"/>
    </row>
    <row r="68" spans="1:16" ht="12.75">
      <c r="A68" s="367" t="s">
        <v>1367</v>
      </c>
      <c r="F68" s="413"/>
      <c r="G68" s="413"/>
      <c r="H68" s="418">
        <v>0</v>
      </c>
      <c r="K68" s="376">
        <f>ROUND((H68*$K$57),0)</f>
        <v>0</v>
      </c>
      <c r="O68" s="352"/>
      <c r="P68" s="415"/>
    </row>
    <row r="69" spans="1:16" ht="12.75" hidden="1">
      <c r="A69" s="377" t="s">
        <v>1638</v>
      </c>
      <c r="F69" s="413"/>
      <c r="G69" s="413"/>
      <c r="H69" s="421">
        <v>0</v>
      </c>
      <c r="K69" s="376">
        <f>ROUND(H69*$K$57,2)</f>
        <v>0</v>
      </c>
      <c r="O69" s="352"/>
      <c r="P69" s="415"/>
    </row>
    <row r="70" spans="1:16" ht="12.75">
      <c r="A70" s="367" t="s">
        <v>1100</v>
      </c>
      <c r="F70" s="412"/>
      <c r="G70" s="412"/>
      <c r="H70" s="376">
        <f>+H71-H64-H61-H60-H62-H67-H68-H66-H65-H69-H63</f>
        <v>2844919</v>
      </c>
      <c r="I70" s="403"/>
      <c r="K70" s="376">
        <f>ROUND((H70*$K$57),0)</f>
        <v>1137968</v>
      </c>
      <c r="M70" s="415"/>
      <c r="O70" s="352"/>
      <c r="P70" s="415"/>
    </row>
    <row r="71" spans="6:16" ht="13.5" thickBot="1">
      <c r="F71" s="413"/>
      <c r="G71" s="413"/>
      <c r="H71" s="566">
        <f>+H48</f>
        <v>11095479</v>
      </c>
      <c r="I71" s="403"/>
      <c r="K71" s="422">
        <f>SUM(K61:K70)</f>
        <v>4136242</v>
      </c>
      <c r="O71" s="352"/>
      <c r="P71" s="415"/>
    </row>
    <row r="72" ht="13.5" thickTop="1"/>
    <row r="73" spans="1:13" ht="12.75">
      <c r="A73" s="367" t="s">
        <v>1243</v>
      </c>
      <c r="H73" s="647">
        <f>ROUND((734491-249283.94+318099.52+50478.63+7192.84-3825+117721),0)-9741</f>
        <v>965133</v>
      </c>
      <c r="I73" s="367" t="s">
        <v>800</v>
      </c>
      <c r="K73" s="376">
        <f>ROUND((H73*$K$57),0)</f>
        <v>386053</v>
      </c>
      <c r="M73" s="415">
        <f>+H73-K73</f>
        <v>579080</v>
      </c>
    </row>
    <row r="74" spans="1:13" ht="12.75">
      <c r="A74" s="367" t="s">
        <v>1244</v>
      </c>
      <c r="H74" s="415">
        <f>+H75-H73</f>
        <v>1879786</v>
      </c>
      <c r="I74" s="367" t="s">
        <v>807</v>
      </c>
      <c r="K74" s="376">
        <f>ROUND((H74*$K$57),0)</f>
        <v>751914</v>
      </c>
      <c r="M74" s="415">
        <f>+H74-K74</f>
        <v>1127872</v>
      </c>
    </row>
    <row r="75" spans="1:13" ht="13.5" thickBot="1">
      <c r="A75" s="367" t="s">
        <v>1245</v>
      </c>
      <c r="F75" s="415"/>
      <c r="G75" s="415"/>
      <c r="H75" s="566">
        <f>+H70</f>
        <v>2844919</v>
      </c>
      <c r="I75" s="403"/>
      <c r="K75" s="422">
        <f>SUM(K73:K74)</f>
        <v>1137967</v>
      </c>
      <c r="M75" s="422">
        <f>SUM(M73:M74)</f>
        <v>1706952</v>
      </c>
    </row>
    <row r="76" spans="6:8" ht="13.5" thickTop="1">
      <c r="F76" s="415"/>
      <c r="G76" s="415"/>
      <c r="H76" s="423"/>
    </row>
    <row r="77" spans="1:9" ht="12.75">
      <c r="A77" s="367" t="s">
        <v>1246</v>
      </c>
      <c r="B77" s="417">
        <v>0.4</v>
      </c>
      <c r="F77" s="415"/>
      <c r="G77" s="415"/>
      <c r="H77" s="423">
        <f>ROUND(+H74*B77,2)</f>
        <v>751914.4</v>
      </c>
      <c r="I77" s="367" t="s">
        <v>808</v>
      </c>
    </row>
    <row r="79" ht="12.75">
      <c r="A79" s="800" t="s">
        <v>579</v>
      </c>
    </row>
    <row r="80" spans="4:8" ht="12.75">
      <c r="D80" s="390" t="s">
        <v>967</v>
      </c>
      <c r="E80" s="390"/>
      <c r="F80" s="390" t="s">
        <v>1095</v>
      </c>
      <c r="G80" s="390"/>
      <c r="H80" s="390" t="s">
        <v>317</v>
      </c>
    </row>
    <row r="81" spans="4:13" ht="12.75">
      <c r="D81" s="390"/>
      <c r="E81" s="390"/>
      <c r="M81" s="415"/>
    </row>
    <row r="82" spans="1:5" ht="12.75">
      <c r="A82" s="367" t="s">
        <v>582</v>
      </c>
      <c r="D82" s="411">
        <v>12361747</v>
      </c>
      <c r="E82" s="809"/>
    </row>
    <row r="83" spans="1:5" ht="12.75">
      <c r="A83" s="367" t="s">
        <v>583</v>
      </c>
      <c r="D83" s="376">
        <f>+D9+D10</f>
        <v>19572634</v>
      </c>
      <c r="E83" s="808"/>
    </row>
    <row r="84" spans="1:8" ht="12.75">
      <c r="A84" s="367" t="s">
        <v>581</v>
      </c>
      <c r="D84" s="424">
        <f>+D83-D82</f>
        <v>7210887</v>
      </c>
      <c r="E84" s="418"/>
      <c r="F84" s="367">
        <f>+F46</f>
        <v>0.4709</v>
      </c>
      <c r="H84" s="418">
        <f>ROUND(+D84*F84,2)</f>
        <v>3395606.69</v>
      </c>
    </row>
    <row r="86" spans="1:8" ht="12.75">
      <c r="A86" s="367" t="s">
        <v>1096</v>
      </c>
      <c r="B86" s="417">
        <v>0.25</v>
      </c>
      <c r="D86" s="376">
        <f>ROUND(+D84*B86,2)</f>
        <v>1802721.75</v>
      </c>
      <c r="E86" s="376"/>
      <c r="F86" s="367">
        <f>+F52</f>
        <v>0.4709</v>
      </c>
      <c r="H86" s="353">
        <f>ROUND(+D86*F86,2)</f>
        <v>848901.67</v>
      </c>
    </row>
    <row r="87" ht="13.5" thickBot="1"/>
    <row r="88" spans="1:9" ht="13.5" thickBot="1">
      <c r="A88" s="367" t="s">
        <v>318</v>
      </c>
      <c r="B88" s="417">
        <v>0.6</v>
      </c>
      <c r="H88" s="1080">
        <f>ROUND(+H86*B88,2)</f>
        <v>509341</v>
      </c>
      <c r="I88" s="367" t="s">
        <v>1390</v>
      </c>
    </row>
    <row r="89" spans="2:8" ht="13.5" thickBot="1">
      <c r="B89" s="417"/>
      <c r="H89" s="426"/>
    </row>
    <row r="90" spans="1:8" ht="13.5" thickBot="1">
      <c r="A90" s="367" t="s">
        <v>369</v>
      </c>
      <c r="B90" s="417">
        <v>0.4</v>
      </c>
      <c r="H90" s="425">
        <f>ROUND(+H86*B90,2)</f>
        <v>339560.67</v>
      </c>
    </row>
    <row r="94" ht="12.75">
      <c r="A94" s="439" t="s">
        <v>803</v>
      </c>
    </row>
    <row r="96" spans="1:5" ht="12.75">
      <c r="A96" s="367" t="s">
        <v>804</v>
      </c>
      <c r="C96" s="415"/>
      <c r="D96" s="415">
        <f>+H61+H66</f>
        <v>6811935</v>
      </c>
      <c r="E96" s="367" t="s">
        <v>800</v>
      </c>
    </row>
    <row r="97" spans="3:4" ht="12.75">
      <c r="C97" s="415"/>
      <c r="D97" s="415"/>
    </row>
    <row r="98" spans="3:4" ht="12.75">
      <c r="C98" s="415"/>
      <c r="D98" s="415"/>
    </row>
    <row r="100" spans="1:7" ht="15.75">
      <c r="A100" s="964" t="s">
        <v>617</v>
      </c>
      <c r="B100" s="965"/>
      <c r="C100" s="965"/>
      <c r="D100" s="965"/>
      <c r="E100" s="965"/>
      <c r="F100" s="975"/>
      <c r="G100" s="385"/>
    </row>
    <row r="101" spans="1:7" ht="15.75">
      <c r="A101" s="966"/>
      <c r="B101" s="958"/>
      <c r="C101" s="958"/>
      <c r="D101" s="967" t="s">
        <v>365</v>
      </c>
      <c r="E101" s="957"/>
      <c r="F101" s="976" t="s">
        <v>366</v>
      </c>
      <c r="G101" s="479"/>
    </row>
    <row r="102" spans="1:7" ht="15.75">
      <c r="A102" s="966"/>
      <c r="B102" s="958"/>
      <c r="C102" s="958"/>
      <c r="D102" s="967" t="s">
        <v>317</v>
      </c>
      <c r="E102" s="957"/>
      <c r="F102" s="976" t="s">
        <v>317</v>
      </c>
      <c r="G102" s="479"/>
    </row>
    <row r="103" spans="1:7" ht="15.75">
      <c r="A103" s="966" t="s">
        <v>403</v>
      </c>
      <c r="B103" s="958"/>
      <c r="C103" s="958"/>
      <c r="D103" s="950"/>
      <c r="E103" s="950"/>
      <c r="F103" s="953"/>
      <c r="G103" s="977"/>
    </row>
    <row r="104" spans="1:7" ht="15.75">
      <c r="A104" s="968" t="s">
        <v>618</v>
      </c>
      <c r="B104" s="958"/>
      <c r="C104" s="950"/>
      <c r="D104" s="950">
        <f>+F110</f>
        <v>10280524</v>
      </c>
      <c r="E104" s="950"/>
      <c r="F104" s="978"/>
      <c r="G104" s="977"/>
    </row>
    <row r="105" spans="1:7" ht="15.75">
      <c r="A105" s="968" t="s">
        <v>619</v>
      </c>
      <c r="B105" s="958"/>
      <c r="C105" s="950"/>
      <c r="D105" s="950"/>
      <c r="E105" s="950"/>
      <c r="F105" s="979">
        <f>+H60</f>
        <v>754876</v>
      </c>
      <c r="G105" s="977"/>
    </row>
    <row r="106" spans="1:7" ht="15.75">
      <c r="A106" s="968" t="s">
        <v>620</v>
      </c>
      <c r="B106" s="958"/>
      <c r="C106" s="950"/>
      <c r="D106" s="950"/>
      <c r="E106" s="950"/>
      <c r="F106" s="953">
        <f>+H62</f>
        <v>214001</v>
      </c>
      <c r="G106" s="977"/>
    </row>
    <row r="107" spans="1:7" ht="15.75">
      <c r="A107" s="968" t="s">
        <v>1386</v>
      </c>
      <c r="B107" s="958"/>
      <c r="C107" s="950"/>
      <c r="D107" s="950"/>
      <c r="E107" s="950"/>
      <c r="F107" s="953">
        <f>+H73</f>
        <v>965133</v>
      </c>
      <c r="G107" s="977"/>
    </row>
    <row r="108" spans="1:7" ht="15.75">
      <c r="A108" s="968" t="s">
        <v>313</v>
      </c>
      <c r="B108" s="958"/>
      <c r="C108" s="950"/>
      <c r="D108" s="950"/>
      <c r="E108" s="950"/>
      <c r="F108" s="953">
        <f>+H61+H66</f>
        <v>6811935</v>
      </c>
      <c r="G108" s="977"/>
    </row>
    <row r="109" spans="1:7" ht="15.75">
      <c r="A109" s="968" t="s">
        <v>1099</v>
      </c>
      <c r="B109" s="958"/>
      <c r="C109" s="950"/>
      <c r="D109" s="950"/>
      <c r="E109" s="950"/>
      <c r="F109" s="953">
        <f>+H64</f>
        <v>1534579</v>
      </c>
      <c r="G109" s="977"/>
    </row>
    <row r="110" spans="1:7" ht="16.5" thickBot="1">
      <c r="A110" s="968"/>
      <c r="B110" s="958"/>
      <c r="C110" s="950"/>
      <c r="D110" s="948">
        <f>SUM(D104:D109)</f>
        <v>10280524</v>
      </c>
      <c r="E110" s="948"/>
      <c r="F110" s="949">
        <f>SUM(F105:F109)</f>
        <v>10280524</v>
      </c>
      <c r="G110" s="479"/>
    </row>
    <row r="111" spans="1:7" ht="16.5" thickTop="1">
      <c r="A111" s="968" t="s">
        <v>621</v>
      </c>
      <c r="B111" s="958"/>
      <c r="C111" s="958"/>
      <c r="D111" s="958"/>
      <c r="E111" s="958"/>
      <c r="F111" s="952"/>
      <c r="G111" s="479"/>
    </row>
    <row r="112" spans="1:7" ht="15.75">
      <c r="A112" s="968"/>
      <c r="B112" s="958"/>
      <c r="C112" s="958"/>
      <c r="D112" s="958"/>
      <c r="E112" s="958"/>
      <c r="F112" s="951"/>
      <c r="G112" s="479"/>
    </row>
    <row r="113" spans="1:7" ht="15.75">
      <c r="A113" s="968"/>
      <c r="B113" s="958"/>
      <c r="C113" s="958"/>
      <c r="D113" s="958"/>
      <c r="E113" s="958"/>
      <c r="F113" s="951"/>
      <c r="G113" s="479"/>
    </row>
    <row r="114" spans="1:7" ht="15.75">
      <c r="A114" s="966" t="s">
        <v>1127</v>
      </c>
      <c r="B114" s="958"/>
      <c r="C114" s="958"/>
      <c r="D114" s="950"/>
      <c r="E114" s="950"/>
      <c r="F114" s="953"/>
      <c r="G114" s="479"/>
    </row>
    <row r="115" spans="1:7" ht="15.75">
      <c r="A115" s="968" t="s">
        <v>622</v>
      </c>
      <c r="B115" s="958"/>
      <c r="C115" s="958"/>
      <c r="D115" s="950">
        <f>-+H65</f>
        <v>153458</v>
      </c>
      <c r="E115" s="950"/>
      <c r="F115" s="953"/>
      <c r="G115" s="479"/>
    </row>
    <row r="116" spans="1:7" ht="15.75">
      <c r="A116" s="968" t="s">
        <v>623</v>
      </c>
      <c r="B116" s="958"/>
      <c r="C116" s="958"/>
      <c r="D116" s="950"/>
      <c r="E116" s="950"/>
      <c r="F116" s="953">
        <f>+D115</f>
        <v>153458</v>
      </c>
      <c r="G116" s="479"/>
    </row>
    <row r="117" spans="1:7" ht="16.5" thickBot="1">
      <c r="A117" s="968"/>
      <c r="B117" s="958"/>
      <c r="C117" s="958"/>
      <c r="D117" s="948">
        <f>SUM(D115:D116)</f>
        <v>153458</v>
      </c>
      <c r="E117" s="948"/>
      <c r="F117" s="954">
        <f>SUM(F116)</f>
        <v>153458</v>
      </c>
      <c r="G117" s="479"/>
    </row>
    <row r="118" spans="1:7" ht="16.5" thickTop="1">
      <c r="A118" s="968" t="s">
        <v>624</v>
      </c>
      <c r="B118" s="958"/>
      <c r="C118" s="958"/>
      <c r="D118" s="950"/>
      <c r="E118" s="950"/>
      <c r="F118" s="953"/>
      <c r="G118" s="479"/>
    </row>
    <row r="119" spans="1:7" ht="15.75">
      <c r="A119" s="968"/>
      <c r="B119" s="958"/>
      <c r="C119" s="958"/>
      <c r="D119" s="950"/>
      <c r="E119" s="950"/>
      <c r="F119" s="953"/>
      <c r="G119" s="479"/>
    </row>
    <row r="120" spans="1:7" ht="15.75">
      <c r="A120" s="968"/>
      <c r="B120" s="958"/>
      <c r="C120" s="958"/>
      <c r="D120" s="950"/>
      <c r="E120" s="950"/>
      <c r="F120" s="953"/>
      <c r="G120" s="479"/>
    </row>
    <row r="121" spans="1:7" ht="15.75">
      <c r="A121" s="966" t="s">
        <v>1142</v>
      </c>
      <c r="B121" s="958"/>
      <c r="C121" s="958"/>
      <c r="D121" s="950"/>
      <c r="E121" s="950"/>
      <c r="F121" s="953"/>
      <c r="G121" s="479"/>
    </row>
    <row r="122" spans="1:7" ht="15.75">
      <c r="A122" s="968" t="s">
        <v>625</v>
      </c>
      <c r="B122" s="958"/>
      <c r="C122" s="958"/>
      <c r="D122" s="950">
        <f>-+K65</f>
        <v>61383</v>
      </c>
      <c r="E122" s="950"/>
      <c r="F122" s="953"/>
      <c r="G122" s="479"/>
    </row>
    <row r="123" spans="1:7" ht="15.75">
      <c r="A123" s="968" t="s">
        <v>626</v>
      </c>
      <c r="B123" s="958"/>
      <c r="C123" s="958"/>
      <c r="D123" s="950"/>
      <c r="E123" s="950"/>
      <c r="F123" s="953">
        <f>+D122</f>
        <v>61383</v>
      </c>
      <c r="G123" s="479"/>
    </row>
    <row r="124" spans="1:7" ht="16.5" thickBot="1">
      <c r="A124" s="968"/>
      <c r="B124" s="958"/>
      <c r="C124" s="958"/>
      <c r="D124" s="948">
        <f>SUM(D122:D123)</f>
        <v>61383</v>
      </c>
      <c r="E124" s="948"/>
      <c r="F124" s="954">
        <f>SUM(F123)</f>
        <v>61383</v>
      </c>
      <c r="G124" s="479"/>
    </row>
    <row r="125" spans="1:7" ht="16.5" thickTop="1">
      <c r="A125" s="968" t="s">
        <v>633</v>
      </c>
      <c r="B125" s="958"/>
      <c r="C125" s="958"/>
      <c r="D125" s="950"/>
      <c r="E125" s="950"/>
      <c r="F125" s="953"/>
      <c r="G125" s="479"/>
    </row>
    <row r="126" spans="1:7" ht="15.75">
      <c r="A126" s="968"/>
      <c r="B126" s="958"/>
      <c r="C126" s="958"/>
      <c r="D126" s="950"/>
      <c r="E126" s="950"/>
      <c r="F126" s="953"/>
      <c r="G126" s="479"/>
    </row>
    <row r="127" spans="1:7" ht="15">
      <c r="A127" s="980"/>
      <c r="B127" s="951"/>
      <c r="C127" s="951"/>
      <c r="D127" s="953"/>
      <c r="E127" s="953"/>
      <c r="F127" s="953"/>
      <c r="G127" s="479"/>
    </row>
    <row r="128" spans="1:7" ht="12.75">
      <c r="A128" s="981" t="s">
        <v>1143</v>
      </c>
      <c r="B128" s="372"/>
      <c r="C128" s="372"/>
      <c r="D128" s="982"/>
      <c r="E128" s="982"/>
      <c r="F128" s="982"/>
      <c r="G128" s="479"/>
    </row>
    <row r="129" spans="1:7" ht="12.75">
      <c r="A129" s="478" t="s">
        <v>585</v>
      </c>
      <c r="B129" s="372"/>
      <c r="C129" s="372"/>
      <c r="D129" s="982">
        <v>224756</v>
      </c>
      <c r="E129" s="982"/>
      <c r="F129" s="982"/>
      <c r="G129" s="479"/>
    </row>
    <row r="130" spans="1:7" ht="12.75">
      <c r="A130" s="579" t="s">
        <v>584</v>
      </c>
      <c r="B130" s="372"/>
      <c r="C130" s="372"/>
      <c r="D130" s="982">
        <v>229286</v>
      </c>
      <c r="E130" s="982"/>
      <c r="F130" s="982"/>
      <c r="G130" s="479"/>
    </row>
    <row r="131" spans="1:7" ht="12.75">
      <c r="A131" s="478" t="s">
        <v>586</v>
      </c>
      <c r="B131" s="372"/>
      <c r="C131" s="372"/>
      <c r="D131" s="982">
        <f>+H88</f>
        <v>509341</v>
      </c>
      <c r="E131" s="982"/>
      <c r="F131" s="982"/>
      <c r="G131" s="479"/>
    </row>
    <row r="132" spans="1:7" ht="12.75">
      <c r="A132" s="478" t="s">
        <v>593</v>
      </c>
      <c r="B132" s="372"/>
      <c r="C132" s="372"/>
      <c r="D132" s="982"/>
      <c r="E132" s="982"/>
      <c r="F132" s="982">
        <f>SUM(D129:D131)</f>
        <v>963383</v>
      </c>
      <c r="G132" s="479"/>
    </row>
    <row r="133" spans="1:7" ht="13.5" thickBot="1">
      <c r="A133" s="478"/>
      <c r="B133" s="372"/>
      <c r="C133" s="372"/>
      <c r="D133" s="811">
        <f>SUM(D129:D132)</f>
        <v>963383</v>
      </c>
      <c r="E133" s="811"/>
      <c r="F133" s="811">
        <f>SUM(F129:F132)</f>
        <v>963383</v>
      </c>
      <c r="G133" s="479"/>
    </row>
    <row r="134" spans="1:7" ht="13.5" thickTop="1">
      <c r="A134" s="579" t="s">
        <v>634</v>
      </c>
      <c r="B134" s="372"/>
      <c r="C134" s="372"/>
      <c r="D134" s="982"/>
      <c r="E134" s="982"/>
      <c r="F134" s="982"/>
      <c r="G134" s="479"/>
    </row>
    <row r="135" spans="1:7" ht="12.75">
      <c r="A135" s="579"/>
      <c r="B135" s="372"/>
      <c r="C135" s="372"/>
      <c r="D135" s="982"/>
      <c r="E135" s="982"/>
      <c r="F135" s="982"/>
      <c r="G135" s="479"/>
    </row>
    <row r="136" spans="1:7" ht="12.75">
      <c r="A136" s="478"/>
      <c r="B136" s="372"/>
      <c r="C136" s="372"/>
      <c r="D136" s="982"/>
      <c r="E136" s="982"/>
      <c r="F136" s="982"/>
      <c r="G136" s="479"/>
    </row>
    <row r="137" spans="1:7" ht="12.75">
      <c r="A137" s="981" t="s">
        <v>1144</v>
      </c>
      <c r="B137" s="372"/>
      <c r="C137" s="372"/>
      <c r="D137" s="982"/>
      <c r="E137" s="982"/>
      <c r="F137" s="982"/>
      <c r="G137" s="479"/>
    </row>
    <row r="138" spans="1:7" ht="12.75">
      <c r="A138" s="478" t="s">
        <v>594</v>
      </c>
      <c r="B138" s="372"/>
      <c r="C138" s="372"/>
      <c r="D138" s="982">
        <f>+H74</f>
        <v>1879786</v>
      </c>
      <c r="E138" s="982"/>
      <c r="F138" s="982"/>
      <c r="G138" s="479"/>
    </row>
    <row r="139" spans="1:7" ht="12.75">
      <c r="A139" s="478" t="s">
        <v>595</v>
      </c>
      <c r="B139" s="372"/>
      <c r="C139" s="372"/>
      <c r="D139" s="982"/>
      <c r="E139" s="982"/>
      <c r="F139" s="982">
        <f>+H74</f>
        <v>1879786</v>
      </c>
      <c r="G139" s="479"/>
    </row>
    <row r="140" spans="1:7" ht="13.5" thickBot="1">
      <c r="A140" s="478"/>
      <c r="B140" s="372"/>
      <c r="C140" s="372"/>
      <c r="D140" s="811">
        <f>SUM(D138:D139)</f>
        <v>1879786</v>
      </c>
      <c r="E140" s="811"/>
      <c r="F140" s="811">
        <f>SUM(F138:F139)</f>
        <v>1879786</v>
      </c>
      <c r="G140" s="479"/>
    </row>
    <row r="141" spans="1:7" ht="13.5" thickTop="1">
      <c r="A141" s="579" t="s">
        <v>635</v>
      </c>
      <c r="B141" s="372"/>
      <c r="C141" s="372"/>
      <c r="D141" s="982"/>
      <c r="E141" s="982"/>
      <c r="F141" s="982"/>
      <c r="G141" s="479"/>
    </row>
    <row r="142" spans="1:7" ht="12.75">
      <c r="A142" s="478"/>
      <c r="B142" s="372"/>
      <c r="C142" s="372"/>
      <c r="D142" s="982"/>
      <c r="E142" s="982"/>
      <c r="F142" s="982"/>
      <c r="G142" s="479"/>
    </row>
    <row r="143" spans="1:7" ht="12.75">
      <c r="A143" s="981" t="s">
        <v>1145</v>
      </c>
      <c r="B143" s="372"/>
      <c r="C143" s="372"/>
      <c r="D143" s="982"/>
      <c r="E143" s="982"/>
      <c r="F143" s="982"/>
      <c r="G143" s="479"/>
    </row>
    <row r="144" spans="1:7" ht="12.75">
      <c r="A144" s="478" t="s">
        <v>596</v>
      </c>
      <c r="B144" s="372"/>
      <c r="C144" s="372"/>
      <c r="D144" s="982">
        <f>+K74</f>
        <v>751914</v>
      </c>
      <c r="E144" s="982"/>
      <c r="F144" s="982"/>
      <c r="G144" s="479"/>
    </row>
    <row r="145" spans="1:7" ht="12.75">
      <c r="A145" s="478" t="s">
        <v>625</v>
      </c>
      <c r="B145" s="372"/>
      <c r="C145" s="372"/>
      <c r="D145" s="982"/>
      <c r="E145" s="982"/>
      <c r="F145" s="982">
        <f>K74</f>
        <v>751914</v>
      </c>
      <c r="G145" s="479"/>
    </row>
    <row r="146" spans="1:7" ht="13.5" thickBot="1">
      <c r="A146" s="478"/>
      <c r="B146" s="372"/>
      <c r="C146" s="372"/>
      <c r="D146" s="811">
        <f>SUM(D144:D145)</f>
        <v>751914</v>
      </c>
      <c r="E146" s="811"/>
      <c r="F146" s="811">
        <f>SUM(F145)</f>
        <v>751914</v>
      </c>
      <c r="G146" s="479"/>
    </row>
    <row r="147" spans="1:7" ht="13.5" thickTop="1">
      <c r="A147" s="579" t="s">
        <v>636</v>
      </c>
      <c r="B147" s="372"/>
      <c r="C147" s="372"/>
      <c r="D147" s="982"/>
      <c r="E147" s="982"/>
      <c r="F147" s="982"/>
      <c r="G147" s="479"/>
    </row>
    <row r="148" spans="1:7" ht="12.75">
      <c r="A148" s="499"/>
      <c r="B148" s="371"/>
      <c r="C148" s="371"/>
      <c r="D148" s="983"/>
      <c r="E148" s="983"/>
      <c r="F148" s="983"/>
      <c r="G148" s="605"/>
    </row>
    <row r="149" spans="4:6" ht="12.75">
      <c r="D149" s="810"/>
      <c r="E149" s="810"/>
      <c r="F149" s="810"/>
    </row>
    <row r="150" spans="1:6" ht="12.75">
      <c r="A150" s="439"/>
      <c r="D150" s="810"/>
      <c r="E150" s="810"/>
      <c r="F150" s="810"/>
    </row>
    <row r="151" spans="4:6" ht="12.75">
      <c r="D151" s="810"/>
      <c r="E151" s="810"/>
      <c r="F151" s="810"/>
    </row>
    <row r="152" spans="4:6" ht="12.75">
      <c r="D152" s="810"/>
      <c r="E152" s="810"/>
      <c r="F152" s="810"/>
    </row>
    <row r="153" spans="4:6" ht="12.75">
      <c r="D153" s="810"/>
      <c r="E153" s="810"/>
      <c r="F153" s="810"/>
    </row>
    <row r="154" spans="4:6" ht="12.75">
      <c r="D154" s="810"/>
      <c r="E154" s="810"/>
      <c r="F154" s="810"/>
    </row>
    <row r="155" spans="4:6" ht="12.75">
      <c r="D155" s="810"/>
      <c r="E155" s="810"/>
      <c r="F155" s="810"/>
    </row>
    <row r="156" spans="4:6" ht="12.75">
      <c r="D156" s="810"/>
      <c r="E156" s="810"/>
      <c r="F156" s="810"/>
    </row>
    <row r="157" spans="4:6" ht="12.75">
      <c r="D157" s="810"/>
      <c r="E157" s="810"/>
      <c r="F157" s="810"/>
    </row>
    <row r="158" spans="4:6" ht="12.75">
      <c r="D158" s="810"/>
      <c r="E158" s="810"/>
      <c r="F158" s="810"/>
    </row>
    <row r="159" spans="4:6" ht="12.75">
      <c r="D159" s="810"/>
      <c r="E159" s="810"/>
      <c r="F159" s="810"/>
    </row>
    <row r="160" spans="4:6" ht="12.75">
      <c r="D160" s="810"/>
      <c r="E160" s="810"/>
      <c r="F160" s="810"/>
    </row>
    <row r="161" spans="4:6" ht="12.75">
      <c r="D161" s="810"/>
      <c r="E161" s="810"/>
      <c r="F161" s="810"/>
    </row>
    <row r="162" spans="4:6" ht="12.75">
      <c r="D162" s="810"/>
      <c r="E162" s="810"/>
      <c r="F162" s="810"/>
    </row>
    <row r="163" spans="4:6" ht="12.75">
      <c r="D163" s="810"/>
      <c r="E163" s="810"/>
      <c r="F163" s="810"/>
    </row>
    <row r="164" spans="4:6" ht="12.75">
      <c r="D164" s="810"/>
      <c r="E164" s="810"/>
      <c r="F164" s="810"/>
    </row>
    <row r="165" spans="4:6" ht="12.75">
      <c r="D165" s="810"/>
      <c r="E165" s="810"/>
      <c r="F165" s="810"/>
    </row>
    <row r="166" spans="4:6" ht="12.75">
      <c r="D166" s="810"/>
      <c r="E166" s="810"/>
      <c r="F166" s="810"/>
    </row>
    <row r="167" spans="4:6" ht="12.75">
      <c r="D167" s="810"/>
      <c r="E167" s="810"/>
      <c r="F167" s="810"/>
    </row>
    <row r="168" spans="4:6" ht="12.75">
      <c r="D168" s="810"/>
      <c r="E168" s="810"/>
      <c r="F168" s="810"/>
    </row>
    <row r="169" spans="4:6" ht="12.75">
      <c r="D169" s="810"/>
      <c r="E169" s="810"/>
      <c r="F169" s="810"/>
    </row>
    <row r="170" spans="4:6" ht="12.75">
      <c r="D170" s="810"/>
      <c r="E170" s="810"/>
      <c r="F170" s="810"/>
    </row>
    <row r="171" spans="4:6" ht="12.75">
      <c r="D171" s="810"/>
      <c r="E171" s="810"/>
      <c r="F171" s="810"/>
    </row>
    <row r="172" spans="4:6" ht="12.75">
      <c r="D172" s="810"/>
      <c r="E172" s="810"/>
      <c r="F172" s="810"/>
    </row>
    <row r="173" spans="4:6" ht="12.75">
      <c r="D173" s="810"/>
      <c r="E173" s="810"/>
      <c r="F173" s="810"/>
    </row>
  </sheetData>
  <mergeCells count="4">
    <mergeCell ref="I4:J4"/>
    <mergeCell ref="I7:J7"/>
    <mergeCell ref="I10:J10"/>
    <mergeCell ref="K54:M54"/>
  </mergeCells>
  <printOptions/>
  <pageMargins left="0.75" right="0.25" top="0.32" bottom="0.25" header="0.08" footer="0.21"/>
  <pageSetup horizontalDpi="300" verticalDpi="300" orientation="portrait" paperSize="9" scale="63" r:id="rId4"/>
  <headerFooter alignWithMargins="0">
    <oddHeader>&amp;R&amp;D &amp;T</oddHeader>
  </headerFooter>
  <rowBreaks count="1" manualBreakCount="1">
    <brk id="99" max="12" man="1"/>
  </rowBreaks>
  <drawing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Z107"/>
  <sheetViews>
    <sheetView workbookViewId="0" topLeftCell="X39">
      <selection activeCell="AL70" sqref="AL70"/>
    </sheetView>
  </sheetViews>
  <sheetFormatPr defaultColWidth="9.140625" defaultRowHeight="12.75"/>
  <cols>
    <col min="1" max="1" width="11.8515625" style="2" customWidth="1"/>
    <col min="2" max="3" width="8.8515625" style="2" customWidth="1"/>
    <col min="4" max="4" width="6.8515625" style="2" customWidth="1"/>
    <col min="5" max="5" width="11.421875" style="119" customWidth="1"/>
    <col min="6" max="6" width="11.28125" style="119" bestFit="1" customWidth="1"/>
    <col min="7" max="7" width="9.28125" style="119" customWidth="1"/>
    <col min="8" max="8" width="10.57421875" style="119" customWidth="1"/>
    <col min="9" max="9" width="10.28125" style="119" customWidth="1"/>
    <col min="10" max="10" width="11.28125" style="119" bestFit="1" customWidth="1"/>
    <col min="11" max="11" width="10.28125" style="119" customWidth="1"/>
    <col min="12" max="12" width="14.00390625" style="119" customWidth="1"/>
    <col min="13" max="13" width="11.28125" style="119" customWidth="1"/>
    <col min="14" max="14" width="10.7109375" style="119" customWidth="1"/>
    <col min="15" max="15" width="8.421875" style="119" customWidth="1"/>
    <col min="16" max="16" width="10.7109375" style="119" customWidth="1"/>
    <col min="17" max="17" width="13.140625" style="119" customWidth="1"/>
    <col min="18" max="21" width="12.140625" style="119" customWidth="1"/>
    <col min="22" max="22" width="14.57421875" style="119" customWidth="1"/>
    <col min="23" max="23" width="11.421875" style="119" customWidth="1"/>
    <col min="24" max="24" width="10.7109375" style="119" customWidth="1"/>
    <col min="25" max="16384" width="8.8515625" style="2" customWidth="1"/>
  </cols>
  <sheetData>
    <row r="1" ht="12.75">
      <c r="A1" s="121" t="s">
        <v>1046</v>
      </c>
    </row>
    <row r="2" ht="12.75">
      <c r="A2" s="121" t="s">
        <v>92</v>
      </c>
    </row>
    <row r="3" ht="13.5" thickBot="1">
      <c r="A3" s="121"/>
    </row>
    <row r="4" spans="1:24" ht="13.5" thickTop="1">
      <c r="A4" s="122"/>
      <c r="B4" s="123"/>
      <c r="C4" s="123"/>
      <c r="D4" s="123"/>
      <c r="E4" s="124" t="s">
        <v>1047</v>
      </c>
      <c r="F4" s="124" t="s">
        <v>899</v>
      </c>
      <c r="G4" s="124" t="s">
        <v>1048</v>
      </c>
      <c r="H4" s="124" t="s">
        <v>333</v>
      </c>
      <c r="I4" s="124" t="s">
        <v>323</v>
      </c>
      <c r="J4" s="124" t="s">
        <v>1049</v>
      </c>
      <c r="K4" s="124" t="s">
        <v>1019</v>
      </c>
      <c r="L4" s="124" t="s">
        <v>1026</v>
      </c>
      <c r="M4" s="124" t="s">
        <v>1050</v>
      </c>
      <c r="N4" s="124" t="s">
        <v>1051</v>
      </c>
      <c r="O4" s="124" t="s">
        <v>1022</v>
      </c>
      <c r="P4" s="124" t="s">
        <v>1024</v>
      </c>
      <c r="Q4" s="124" t="s">
        <v>1025</v>
      </c>
      <c r="R4" s="124" t="s">
        <v>1028</v>
      </c>
      <c r="S4" s="124" t="s">
        <v>1027</v>
      </c>
      <c r="T4" s="124" t="s">
        <v>43</v>
      </c>
      <c r="U4" s="124" t="s">
        <v>193</v>
      </c>
      <c r="V4" s="124" t="s">
        <v>318</v>
      </c>
      <c r="W4" s="124" t="s">
        <v>1052</v>
      </c>
      <c r="X4" s="125" t="s">
        <v>1052</v>
      </c>
    </row>
    <row r="5" spans="1:24" ht="12.75">
      <c r="A5" s="126"/>
      <c r="B5" s="121"/>
      <c r="C5" s="121"/>
      <c r="D5" s="121"/>
      <c r="E5" s="127" t="s">
        <v>317</v>
      </c>
      <c r="F5" s="127" t="s">
        <v>317</v>
      </c>
      <c r="G5" s="127" t="s">
        <v>317</v>
      </c>
      <c r="H5" s="127" t="s">
        <v>317</v>
      </c>
      <c r="I5" s="127" t="s">
        <v>317</v>
      </c>
      <c r="J5" s="127" t="s">
        <v>317</v>
      </c>
      <c r="K5" s="127" t="s">
        <v>317</v>
      </c>
      <c r="L5" s="127" t="s">
        <v>317</v>
      </c>
      <c r="M5" s="127" t="s">
        <v>317</v>
      </c>
      <c r="N5" s="127" t="s">
        <v>317</v>
      </c>
      <c r="O5" s="127" t="s">
        <v>317</v>
      </c>
      <c r="P5" s="127" t="s">
        <v>317</v>
      </c>
      <c r="Q5" s="127" t="s">
        <v>317</v>
      </c>
      <c r="R5" s="127" t="s">
        <v>317</v>
      </c>
      <c r="S5" s="127" t="s">
        <v>317</v>
      </c>
      <c r="T5" s="127" t="s">
        <v>317</v>
      </c>
      <c r="U5" s="127" t="s">
        <v>317</v>
      </c>
      <c r="V5" s="127" t="s">
        <v>317</v>
      </c>
      <c r="W5" s="127" t="s">
        <v>317</v>
      </c>
      <c r="X5" s="128" t="s">
        <v>1053</v>
      </c>
    </row>
    <row r="6" spans="1:24" ht="12.75">
      <c r="A6" s="126"/>
      <c r="B6" s="61"/>
      <c r="C6" s="61"/>
      <c r="D6" s="61"/>
      <c r="E6" s="127"/>
      <c r="F6" s="127"/>
      <c r="G6" s="127"/>
      <c r="H6" s="127"/>
      <c r="I6" s="127"/>
      <c r="J6" s="127"/>
      <c r="K6" s="127"/>
      <c r="L6" s="127"/>
      <c r="M6" s="127"/>
      <c r="N6" s="127"/>
      <c r="O6" s="127"/>
      <c r="P6" s="127"/>
      <c r="Q6" s="127"/>
      <c r="R6" s="127"/>
      <c r="S6" s="127"/>
      <c r="T6" s="127"/>
      <c r="U6" s="127"/>
      <c r="V6" s="127"/>
      <c r="W6" s="129"/>
      <c r="X6" s="130"/>
    </row>
    <row r="7" spans="1:24" ht="12.75">
      <c r="A7" s="120" t="s">
        <v>1054</v>
      </c>
      <c r="B7" s="121"/>
      <c r="C7" s="121"/>
      <c r="D7" s="121"/>
      <c r="E7" s="127">
        <v>100</v>
      </c>
      <c r="F7" s="131">
        <v>93.33</v>
      </c>
      <c r="G7" s="127">
        <v>100</v>
      </c>
      <c r="H7" s="127">
        <v>60</v>
      </c>
      <c r="I7" s="127">
        <v>100</v>
      </c>
      <c r="J7" s="127">
        <v>100</v>
      </c>
      <c r="K7" s="127">
        <v>100</v>
      </c>
      <c r="L7" s="127">
        <v>100</v>
      </c>
      <c r="M7" s="127">
        <v>100</v>
      </c>
      <c r="N7" s="127">
        <v>60</v>
      </c>
      <c r="O7" s="127">
        <v>60</v>
      </c>
      <c r="P7" s="127">
        <v>100</v>
      </c>
      <c r="Q7" s="127">
        <v>100</v>
      </c>
      <c r="R7" s="127">
        <v>100</v>
      </c>
      <c r="S7" s="127">
        <v>100</v>
      </c>
      <c r="T7" s="127">
        <v>100</v>
      </c>
      <c r="U7" s="127">
        <v>70</v>
      </c>
      <c r="V7" s="127">
        <v>100</v>
      </c>
      <c r="W7" s="127"/>
      <c r="X7" s="130"/>
    </row>
    <row r="8" spans="1:24" ht="12.75">
      <c r="A8" s="120"/>
      <c r="B8" s="121"/>
      <c r="C8" s="121"/>
      <c r="D8" s="121"/>
      <c r="E8" s="127"/>
      <c r="F8" s="131"/>
      <c r="G8" s="127"/>
      <c r="H8" s="127"/>
      <c r="I8" s="127"/>
      <c r="J8" s="127"/>
      <c r="K8" s="127"/>
      <c r="L8" s="127"/>
      <c r="M8" s="127"/>
      <c r="N8" s="127"/>
      <c r="O8" s="127"/>
      <c r="P8" s="127"/>
      <c r="Q8" s="127"/>
      <c r="R8" s="127"/>
      <c r="S8" s="127"/>
      <c r="T8" s="127"/>
      <c r="U8" s="127"/>
      <c r="V8" s="127"/>
      <c r="W8" s="127"/>
      <c r="X8" s="130"/>
    </row>
    <row r="9" spans="1:24" ht="12.75">
      <c r="A9" s="120"/>
      <c r="B9" s="121"/>
      <c r="C9" s="121"/>
      <c r="D9" s="121"/>
      <c r="E9" s="127"/>
      <c r="F9" s="131"/>
      <c r="G9" s="127"/>
      <c r="H9" s="127"/>
      <c r="I9" s="127"/>
      <c r="J9" s="127"/>
      <c r="K9" s="127"/>
      <c r="L9" s="127"/>
      <c r="M9" s="127"/>
      <c r="N9" s="127"/>
      <c r="O9" s="127"/>
      <c r="P9" s="127"/>
      <c r="Q9" s="127"/>
      <c r="R9" s="127"/>
      <c r="S9" s="127"/>
      <c r="T9" s="127"/>
      <c r="U9" s="127"/>
      <c r="V9" s="127"/>
      <c r="W9" s="127"/>
      <c r="X9" s="130"/>
    </row>
    <row r="10" spans="1:24" ht="12.75">
      <c r="A10" s="120" t="s">
        <v>1070</v>
      </c>
      <c r="B10" s="121"/>
      <c r="C10" s="121"/>
      <c r="D10" s="121"/>
      <c r="E10" s="129">
        <f>+'B. Sheet'!F71*1000</f>
        <v>-2096177.0000000002</v>
      </c>
      <c r="F10" s="129">
        <f>+'B. Sheet'!C71*1000</f>
        <v>-17902824</v>
      </c>
      <c r="G10" s="129">
        <f>+'B. Sheet'!E71*1000</f>
        <v>-757212</v>
      </c>
      <c r="H10" s="129">
        <f>+'B. Sheet'!M71*1000</f>
        <v>104126131</v>
      </c>
      <c r="I10" s="129">
        <f>+'B. Sheet'!H71*1000</f>
        <v>-3425269</v>
      </c>
      <c r="J10" s="129">
        <f>+'B. Sheet'!B71*1000</f>
        <v>-23577828</v>
      </c>
      <c r="K10" s="129">
        <f>+'B. Sheet'!G71*1000</f>
        <v>2989941</v>
      </c>
      <c r="L10" s="345">
        <f>+'B. Sheet'!I71*1000</f>
        <v>-721591.0000000001</v>
      </c>
      <c r="M10" s="129">
        <f>+'B. Sheet'!D71*1000</f>
        <v>-9352274</v>
      </c>
      <c r="N10" s="345">
        <f>+'B. Sheet'!N71*1000</f>
        <v>18208873</v>
      </c>
      <c r="O10" s="129">
        <f>+'B. Sheet'!O71*1000</f>
        <v>-24034</v>
      </c>
      <c r="P10" s="129">
        <f>+'B. Sheet'!P71*1000</f>
        <v>-477876.00000000006</v>
      </c>
      <c r="Q10" s="129">
        <f>+'B. Sheet'!Q71*1000</f>
        <v>-12310343</v>
      </c>
      <c r="R10" s="129">
        <f>+'B. Sheet'!R71*1000</f>
        <v>-3442242</v>
      </c>
      <c r="S10" s="129">
        <f>+'B. Sheet'!S71*1000</f>
        <v>-468662.35</v>
      </c>
      <c r="T10" s="129">
        <f>+'B. Sheet'!V71*1000</f>
        <v>-12037</v>
      </c>
      <c r="U10" s="129">
        <f>+'B. Sheet'!T71*1000</f>
        <v>0</v>
      </c>
      <c r="V10" s="129">
        <f>+'B. Sheet'!K71*1000</f>
        <v>-62255843</v>
      </c>
      <c r="W10" s="129">
        <f>SUM(E10:V10)</f>
        <v>-11499267.350000001</v>
      </c>
      <c r="X10" s="130">
        <f>W10/1000</f>
        <v>-11499.267350000002</v>
      </c>
    </row>
    <row r="11" spans="1:24" ht="13.5" thickBot="1">
      <c r="A11" s="120"/>
      <c r="B11" s="61"/>
      <c r="C11" s="61"/>
      <c r="D11" s="61"/>
      <c r="E11" s="129"/>
      <c r="F11" s="129"/>
      <c r="G11" s="129"/>
      <c r="H11" s="129"/>
      <c r="I11" s="129"/>
      <c r="J11" s="129"/>
      <c r="K11" s="129"/>
      <c r="L11" s="345"/>
      <c r="M11" s="129"/>
      <c r="N11" s="345"/>
      <c r="O11" s="129"/>
      <c r="P11" s="129"/>
      <c r="Q11" s="129"/>
      <c r="R11" s="129"/>
      <c r="S11" s="129"/>
      <c r="T11" s="129"/>
      <c r="U11" s="129"/>
      <c r="V11" s="129"/>
      <c r="W11" s="129"/>
      <c r="X11" s="130"/>
    </row>
    <row r="12" spans="1:24" ht="12.75">
      <c r="A12" s="133"/>
      <c r="B12" s="134"/>
      <c r="C12" s="134"/>
      <c r="D12" s="134"/>
      <c r="E12" s="135"/>
      <c r="F12" s="135"/>
      <c r="G12" s="135"/>
      <c r="H12" s="135"/>
      <c r="I12" s="135"/>
      <c r="J12" s="135"/>
      <c r="K12" s="135"/>
      <c r="L12" s="346"/>
      <c r="M12" s="135"/>
      <c r="N12" s="346"/>
      <c r="O12" s="135"/>
      <c r="P12" s="135"/>
      <c r="Q12" s="135"/>
      <c r="R12" s="135"/>
      <c r="S12" s="135"/>
      <c r="T12" s="135"/>
      <c r="U12" s="135"/>
      <c r="V12" s="135"/>
      <c r="W12" s="136"/>
      <c r="X12" s="130"/>
    </row>
    <row r="13" spans="1:24" ht="12.75">
      <c r="A13" s="120" t="s">
        <v>1055</v>
      </c>
      <c r="B13" s="61"/>
      <c r="C13" s="61"/>
      <c r="D13" s="61"/>
      <c r="E13" s="129">
        <f>E10/1000</f>
        <v>-2096.177</v>
      </c>
      <c r="F13" s="129">
        <f aca="true" t="shared" si="0" ref="F13:W13">F10/1000</f>
        <v>-17902.824</v>
      </c>
      <c r="G13" s="129">
        <f t="shared" si="0"/>
        <v>-757.212</v>
      </c>
      <c r="H13" s="129">
        <f t="shared" si="0"/>
        <v>104126.131</v>
      </c>
      <c r="I13" s="129">
        <f t="shared" si="0"/>
        <v>-3425.269</v>
      </c>
      <c r="J13" s="129">
        <f t="shared" si="0"/>
        <v>-23577.828</v>
      </c>
      <c r="K13" s="129">
        <f t="shared" si="0"/>
        <v>2989.941</v>
      </c>
      <c r="L13" s="345">
        <f t="shared" si="0"/>
        <v>-721.5910000000001</v>
      </c>
      <c r="M13" s="129">
        <f t="shared" si="0"/>
        <v>-9352.274</v>
      </c>
      <c r="N13" s="345">
        <f t="shared" si="0"/>
        <v>18208.873</v>
      </c>
      <c r="O13" s="129">
        <f t="shared" si="0"/>
        <v>-24.034</v>
      </c>
      <c r="P13" s="129">
        <f t="shared" si="0"/>
        <v>-477.87600000000003</v>
      </c>
      <c r="Q13" s="129">
        <f t="shared" si="0"/>
        <v>-12310.343</v>
      </c>
      <c r="R13" s="129">
        <f t="shared" si="0"/>
        <v>-3442.242</v>
      </c>
      <c r="S13" s="129">
        <f t="shared" si="0"/>
        <v>-468.66235</v>
      </c>
      <c r="T13" s="129">
        <f>T10/1000</f>
        <v>-12.037</v>
      </c>
      <c r="U13" s="129">
        <f>U10/1000</f>
        <v>0</v>
      </c>
      <c r="V13" s="129">
        <f t="shared" si="0"/>
        <v>-62255.843</v>
      </c>
      <c r="W13" s="137">
        <f t="shared" si="0"/>
        <v>-11499.267350000002</v>
      </c>
      <c r="X13" s="130"/>
    </row>
    <row r="14" spans="1:24" ht="12.75">
      <c r="A14" s="126"/>
      <c r="B14" s="61"/>
      <c r="C14" s="61"/>
      <c r="D14" s="61"/>
      <c r="E14" s="129"/>
      <c r="F14" s="129"/>
      <c r="G14" s="129"/>
      <c r="H14" s="129"/>
      <c r="I14" s="129"/>
      <c r="J14" s="129"/>
      <c r="K14" s="129"/>
      <c r="L14" s="345"/>
      <c r="M14" s="129"/>
      <c r="N14" s="345"/>
      <c r="O14" s="129"/>
      <c r="P14" s="129"/>
      <c r="Q14" s="129"/>
      <c r="R14" s="129"/>
      <c r="S14" s="129"/>
      <c r="T14" s="129"/>
      <c r="U14" s="129"/>
      <c r="V14" s="129"/>
      <c r="W14" s="137"/>
      <c r="X14" s="130"/>
    </row>
    <row r="15" spans="1:24" ht="12.75">
      <c r="A15" s="120" t="s">
        <v>1056</v>
      </c>
      <c r="B15" s="61"/>
      <c r="C15" s="61"/>
      <c r="D15" s="61"/>
      <c r="E15" s="129">
        <f>+E13</f>
        <v>-2096.177</v>
      </c>
      <c r="F15" s="129">
        <f aca="true" t="shared" si="1" ref="F15:V15">+F13</f>
        <v>-17902.824</v>
      </c>
      <c r="G15" s="129">
        <f t="shared" si="1"/>
        <v>-757.212</v>
      </c>
      <c r="H15" s="129">
        <f t="shared" si="1"/>
        <v>104126.131</v>
      </c>
      <c r="I15" s="129">
        <f t="shared" si="1"/>
        <v>-3425.269</v>
      </c>
      <c r="J15" s="129">
        <f t="shared" si="1"/>
        <v>-23577.828</v>
      </c>
      <c r="K15" s="129">
        <f t="shared" si="1"/>
        <v>2989.941</v>
      </c>
      <c r="L15" s="345">
        <f t="shared" si="1"/>
        <v>-721.5910000000001</v>
      </c>
      <c r="M15" s="129">
        <f t="shared" si="1"/>
        <v>-9352.274</v>
      </c>
      <c r="N15" s="345">
        <f t="shared" si="1"/>
        <v>18208.873</v>
      </c>
      <c r="O15" s="129">
        <f t="shared" si="1"/>
        <v>-24.034</v>
      </c>
      <c r="P15" s="129">
        <f t="shared" si="1"/>
        <v>-477.87600000000003</v>
      </c>
      <c r="Q15" s="129">
        <f t="shared" si="1"/>
        <v>-12310.343</v>
      </c>
      <c r="R15" s="129">
        <f t="shared" si="1"/>
        <v>-3442.242</v>
      </c>
      <c r="S15" s="129">
        <f t="shared" si="1"/>
        <v>-468.66235</v>
      </c>
      <c r="T15" s="129">
        <f>+T13</f>
        <v>-12.037</v>
      </c>
      <c r="U15" s="129">
        <f>+U13</f>
        <v>0</v>
      </c>
      <c r="V15" s="129">
        <f t="shared" si="1"/>
        <v>-62255.843</v>
      </c>
      <c r="W15" s="137">
        <f>SUM(E15:V15)</f>
        <v>-11499.26735000001</v>
      </c>
      <c r="X15" s="130"/>
    </row>
    <row r="16" spans="1:24" ht="12.75">
      <c r="A16" s="120"/>
      <c r="B16" s="61"/>
      <c r="C16" s="61"/>
      <c r="D16" s="61"/>
      <c r="E16" s="129"/>
      <c r="F16" s="129"/>
      <c r="G16" s="129"/>
      <c r="H16" s="129"/>
      <c r="I16" s="129"/>
      <c r="J16" s="129"/>
      <c r="K16" s="129"/>
      <c r="L16" s="129"/>
      <c r="M16" s="129"/>
      <c r="N16" s="129"/>
      <c r="O16" s="129"/>
      <c r="P16" s="129"/>
      <c r="Q16" s="129"/>
      <c r="R16" s="129"/>
      <c r="S16" s="129"/>
      <c r="T16" s="129"/>
      <c r="U16" s="129"/>
      <c r="V16" s="129"/>
      <c r="W16" s="137"/>
      <c r="X16" s="130"/>
    </row>
    <row r="17" spans="1:24" ht="13.5" thickBot="1">
      <c r="A17" s="126" t="s">
        <v>1033</v>
      </c>
      <c r="B17" s="61"/>
      <c r="C17" s="61"/>
      <c r="D17" s="61"/>
      <c r="E17" s="138">
        <f>E13-E15</f>
        <v>0</v>
      </c>
      <c r="F17" s="138">
        <f aca="true" t="shared" si="2" ref="F17:V17">F13-F15</f>
        <v>0</v>
      </c>
      <c r="G17" s="138">
        <f t="shared" si="2"/>
        <v>0</v>
      </c>
      <c r="H17" s="138">
        <f>-H15-H16+H13</f>
        <v>0</v>
      </c>
      <c r="I17" s="138">
        <f t="shared" si="2"/>
        <v>0</v>
      </c>
      <c r="J17" s="138">
        <f t="shared" si="2"/>
        <v>0</v>
      </c>
      <c r="K17" s="138">
        <f t="shared" si="2"/>
        <v>0</v>
      </c>
      <c r="L17" s="138">
        <f t="shared" si="2"/>
        <v>0</v>
      </c>
      <c r="M17" s="138">
        <f t="shared" si="2"/>
        <v>0</v>
      </c>
      <c r="N17" s="138">
        <f t="shared" si="2"/>
        <v>0</v>
      </c>
      <c r="O17" s="138">
        <f t="shared" si="2"/>
        <v>0</v>
      </c>
      <c r="P17" s="138">
        <f t="shared" si="2"/>
        <v>0</v>
      </c>
      <c r="Q17" s="138">
        <f t="shared" si="2"/>
        <v>0</v>
      </c>
      <c r="R17" s="138">
        <f t="shared" si="2"/>
        <v>0</v>
      </c>
      <c r="S17" s="138">
        <f t="shared" si="2"/>
        <v>0</v>
      </c>
      <c r="T17" s="138">
        <f>T13-T15</f>
        <v>0</v>
      </c>
      <c r="U17" s="138">
        <f>U13-U15</f>
        <v>0</v>
      </c>
      <c r="V17" s="138">
        <f t="shared" si="2"/>
        <v>0</v>
      </c>
      <c r="W17" s="157">
        <f>W15+W16-W13</f>
        <v>0</v>
      </c>
      <c r="X17" s="130"/>
    </row>
    <row r="18" spans="1:24" ht="14.25" customHeight="1" hidden="1" thickBot="1" thickTop="1">
      <c r="A18" s="139"/>
      <c r="B18" s="140"/>
      <c r="C18" s="140"/>
      <c r="D18" s="140"/>
      <c r="E18" s="141"/>
      <c r="F18" s="141"/>
      <c r="G18" s="141"/>
      <c r="H18" s="141">
        <f>+H17*H7/100</f>
        <v>0</v>
      </c>
      <c r="I18" s="141"/>
      <c r="J18" s="141"/>
      <c r="K18" s="141"/>
      <c r="L18" s="141"/>
      <c r="M18" s="141">
        <f>+M17*M7/100</f>
        <v>0</v>
      </c>
      <c r="N18" s="141">
        <f>+N17*N7/100</f>
        <v>0</v>
      </c>
      <c r="O18" s="141"/>
      <c r="P18" s="141"/>
      <c r="Q18" s="141"/>
      <c r="R18" s="141"/>
      <c r="S18" s="141"/>
      <c r="T18" s="141"/>
      <c r="U18" s="141"/>
      <c r="V18" s="141">
        <f>+V17*V7/100</f>
        <v>0</v>
      </c>
      <c r="W18" s="142">
        <f>SUM(E18:V18)</f>
        <v>0</v>
      </c>
      <c r="X18" s="130">
        <f>W18-X57</f>
        <v>-1488.595360800009</v>
      </c>
    </row>
    <row r="19" spans="1:24" ht="14.25" thickBot="1" thickTop="1">
      <c r="A19" s="126"/>
      <c r="B19" s="61"/>
      <c r="C19" s="61"/>
      <c r="D19" s="61"/>
      <c r="E19" s="132"/>
      <c r="F19" s="132"/>
      <c r="G19" s="132"/>
      <c r="H19" s="132"/>
      <c r="I19" s="132"/>
      <c r="J19" s="132"/>
      <c r="K19" s="132"/>
      <c r="L19" s="132"/>
      <c r="M19" s="132"/>
      <c r="N19" s="132"/>
      <c r="O19" s="132"/>
      <c r="P19" s="132"/>
      <c r="Q19" s="132"/>
      <c r="R19" s="132"/>
      <c r="S19" s="132"/>
      <c r="T19" s="132"/>
      <c r="U19" s="132"/>
      <c r="V19" s="132"/>
      <c r="W19" s="135"/>
      <c r="X19" s="143"/>
    </row>
    <row r="20" spans="1:24" ht="12.75">
      <c r="A20" s="133"/>
      <c r="B20" s="134"/>
      <c r="C20" s="134"/>
      <c r="D20" s="134"/>
      <c r="E20" s="135"/>
      <c r="F20" s="135"/>
      <c r="G20" s="135"/>
      <c r="H20" s="135"/>
      <c r="I20" s="135"/>
      <c r="J20" s="135"/>
      <c r="K20" s="135"/>
      <c r="L20" s="135"/>
      <c r="M20" s="135"/>
      <c r="N20" s="135"/>
      <c r="O20" s="135"/>
      <c r="P20" s="135"/>
      <c r="Q20" s="135"/>
      <c r="R20" s="135"/>
      <c r="S20" s="135"/>
      <c r="T20" s="135"/>
      <c r="U20" s="135"/>
      <c r="V20" s="135"/>
      <c r="W20" s="135"/>
      <c r="X20" s="130"/>
    </row>
    <row r="21" spans="1:24" ht="12.75">
      <c r="A21" s="126"/>
      <c r="B21" s="61"/>
      <c r="C21" s="61"/>
      <c r="D21" s="61"/>
      <c r="E21" s="129"/>
      <c r="F21" s="129"/>
      <c r="G21" s="129"/>
      <c r="H21" s="129"/>
      <c r="I21" s="129"/>
      <c r="J21" s="129"/>
      <c r="K21" s="129"/>
      <c r="L21" s="129"/>
      <c r="M21" s="129"/>
      <c r="N21" s="129"/>
      <c r="O21" s="129"/>
      <c r="P21" s="129"/>
      <c r="Q21" s="129"/>
      <c r="R21" s="129"/>
      <c r="S21" s="129"/>
      <c r="T21" s="129"/>
      <c r="U21" s="129"/>
      <c r="V21" s="129"/>
      <c r="W21" s="129"/>
      <c r="X21" s="130"/>
    </row>
    <row r="22" spans="1:24" ht="12.75">
      <c r="A22" s="126" t="s">
        <v>1057</v>
      </c>
      <c r="B22" s="61"/>
      <c r="C22" s="61"/>
      <c r="D22" s="61"/>
      <c r="E22" s="129">
        <f aca="true" t="shared" si="3" ref="E22:J22">E10*E7/100</f>
        <v>-2096177.0000000002</v>
      </c>
      <c r="F22" s="129">
        <f t="shared" si="3"/>
        <v>-16708705.6392</v>
      </c>
      <c r="G22" s="129">
        <f t="shared" si="3"/>
        <v>-757212</v>
      </c>
      <c r="H22" s="129">
        <f>H10*H7/100</f>
        <v>62475678.6</v>
      </c>
      <c r="I22" s="129">
        <f t="shared" si="3"/>
        <v>-3425269</v>
      </c>
      <c r="J22" s="129">
        <f t="shared" si="3"/>
        <v>-23577828</v>
      </c>
      <c r="K22" s="129">
        <f>K10*K7/100+2000</f>
        <v>2991941</v>
      </c>
      <c r="L22" s="129">
        <f aca="true" t="shared" si="4" ref="L22:U22">L10*L7/100</f>
        <v>-721591.0000000001</v>
      </c>
      <c r="M22" s="129">
        <f t="shared" si="4"/>
        <v>-9352274</v>
      </c>
      <c r="N22" s="129">
        <f>N10*N7/100</f>
        <v>10925323.8</v>
      </c>
      <c r="O22" s="129">
        <f t="shared" si="4"/>
        <v>-14420.4</v>
      </c>
      <c r="P22" s="129">
        <f t="shared" si="4"/>
        <v>-477876.00000000006</v>
      </c>
      <c r="Q22" s="129">
        <f t="shared" si="4"/>
        <v>-12310343</v>
      </c>
      <c r="R22" s="129">
        <f t="shared" si="4"/>
        <v>-3442242</v>
      </c>
      <c r="S22" s="129">
        <f t="shared" si="4"/>
        <v>-468662.35</v>
      </c>
      <c r="T22" s="129">
        <f t="shared" si="4"/>
        <v>-12037</v>
      </c>
      <c r="U22" s="129">
        <f t="shared" si="4"/>
        <v>0</v>
      </c>
      <c r="V22" s="129">
        <f>V10*V7/100</f>
        <v>-62255843</v>
      </c>
      <c r="W22" s="129">
        <f>SUM(E22:V22)</f>
        <v>-59227536.989199996</v>
      </c>
      <c r="X22" s="130">
        <f>W22/1000</f>
        <v>-59227.536989199994</v>
      </c>
    </row>
    <row r="23" spans="1:24" ht="13.5" thickBot="1">
      <c r="A23" s="126"/>
      <c r="B23" s="61"/>
      <c r="C23" s="61"/>
      <c r="D23" s="61"/>
      <c r="E23" s="129"/>
      <c r="F23" s="129"/>
      <c r="G23" s="129"/>
      <c r="H23" s="129"/>
      <c r="I23" s="129"/>
      <c r="J23" s="129"/>
      <c r="K23" s="129"/>
      <c r="L23" s="129"/>
      <c r="M23" s="129"/>
      <c r="N23" s="129"/>
      <c r="O23" s="129"/>
      <c r="P23" s="129"/>
      <c r="Q23" s="129"/>
      <c r="R23" s="129"/>
      <c r="S23" s="129"/>
      <c r="T23" s="129"/>
      <c r="U23" s="129"/>
      <c r="V23" s="129"/>
      <c r="W23" s="129"/>
      <c r="X23" s="130"/>
    </row>
    <row r="24" spans="1:25" ht="12.75">
      <c r="A24" s="126"/>
      <c r="B24" s="61"/>
      <c r="C24" s="61"/>
      <c r="D24" s="61"/>
      <c r="E24" s="129"/>
      <c r="F24" s="129"/>
      <c r="G24" s="129"/>
      <c r="H24" s="129"/>
      <c r="I24" s="129"/>
      <c r="J24" s="129"/>
      <c r="K24" s="129"/>
      <c r="L24" s="129"/>
      <c r="M24" s="129"/>
      <c r="N24" s="129"/>
      <c r="O24" s="129"/>
      <c r="P24" s="2"/>
      <c r="Q24" s="2"/>
      <c r="R24" s="61" t="s">
        <v>1058</v>
      </c>
      <c r="S24" s="61" t="s">
        <v>1059</v>
      </c>
      <c r="T24" s="61"/>
      <c r="U24" s="61"/>
      <c r="V24" s="61"/>
      <c r="W24" s="129"/>
      <c r="X24" s="344">
        <f>-je!C7/1000</f>
        <v>-896.04</v>
      </c>
      <c r="Y24" s="3"/>
    </row>
    <row r="25" spans="1:25" ht="12.75">
      <c r="A25" s="126"/>
      <c r="B25" s="61"/>
      <c r="C25" s="61"/>
      <c r="D25" s="61"/>
      <c r="E25" s="129"/>
      <c r="F25" s="129"/>
      <c r="G25" s="129"/>
      <c r="H25" s="129"/>
      <c r="I25" s="129"/>
      <c r="J25" s="129"/>
      <c r="K25" s="129"/>
      <c r="L25" s="129"/>
      <c r="M25" s="129"/>
      <c r="N25" s="129"/>
      <c r="O25" s="129"/>
      <c r="P25" s="2"/>
      <c r="Q25" s="2"/>
      <c r="R25" s="61" t="s">
        <v>1060</v>
      </c>
      <c r="S25" s="61" t="s">
        <v>1071</v>
      </c>
      <c r="T25" s="61"/>
      <c r="U25" s="61"/>
      <c r="V25" s="61"/>
      <c r="W25" s="129"/>
      <c r="X25" s="343">
        <f>-je!N89/1000-je!N88/1000-9-je!N90/1000</f>
        <v>-9</v>
      </c>
      <c r="Y25" s="3"/>
    </row>
    <row r="26" spans="1:25" ht="12.75">
      <c r="A26" s="126"/>
      <c r="E26" s="2"/>
      <c r="F26" s="129"/>
      <c r="G26" s="129"/>
      <c r="H26" s="129"/>
      <c r="I26" s="129"/>
      <c r="J26" s="129"/>
      <c r="K26" s="129"/>
      <c r="L26" s="129"/>
      <c r="M26" s="129"/>
      <c r="N26" s="129"/>
      <c r="O26" s="129"/>
      <c r="P26" s="2"/>
      <c r="Q26" s="2"/>
      <c r="R26" s="61" t="s">
        <v>1066</v>
      </c>
      <c r="S26" s="61" t="s">
        <v>1061</v>
      </c>
      <c r="T26" s="61"/>
      <c r="U26" s="61"/>
      <c r="V26" s="61"/>
      <c r="W26" s="129"/>
      <c r="X26" s="343">
        <f>-je!C31/1000</f>
        <v>-385.734</v>
      </c>
      <c r="Y26" s="3"/>
    </row>
    <row r="27" spans="1:25" ht="12.75">
      <c r="A27" s="126"/>
      <c r="E27" s="2"/>
      <c r="F27" s="129"/>
      <c r="G27" s="129"/>
      <c r="H27" s="129"/>
      <c r="I27" s="129"/>
      <c r="J27" s="129"/>
      <c r="K27" s="129"/>
      <c r="L27" s="129"/>
      <c r="M27" s="129"/>
      <c r="N27" s="129"/>
      <c r="O27" s="129"/>
      <c r="P27" s="2"/>
      <c r="Q27" s="2"/>
      <c r="R27" s="129" t="s">
        <v>1139</v>
      </c>
      <c r="S27" s="129" t="s">
        <v>1240</v>
      </c>
      <c r="T27" s="129"/>
      <c r="U27" s="129"/>
      <c r="V27" s="61"/>
      <c r="W27" s="129"/>
      <c r="X27" s="343">
        <f>+je!C148/1000</f>
        <v>50279.048</v>
      </c>
      <c r="Y27" s="3"/>
    </row>
    <row r="28" spans="1:25" ht="12.75">
      <c r="A28" s="126"/>
      <c r="E28" s="2"/>
      <c r="F28" s="129"/>
      <c r="G28" s="129"/>
      <c r="H28" s="129"/>
      <c r="I28" s="129"/>
      <c r="J28" s="129"/>
      <c r="K28" s="129"/>
      <c r="L28" s="129"/>
      <c r="M28" s="129"/>
      <c r="N28" s="129"/>
      <c r="O28" s="129"/>
      <c r="P28" s="2"/>
      <c r="Q28" s="129"/>
      <c r="R28" s="129" t="s">
        <v>1239</v>
      </c>
      <c r="S28" s="129" t="s">
        <v>1241</v>
      </c>
      <c r="T28" s="129"/>
      <c r="U28" s="129"/>
      <c r="V28" s="61"/>
      <c r="W28" s="129"/>
      <c r="X28" s="343">
        <f>+je!C152/1000</f>
        <v>3559.35</v>
      </c>
      <c r="Y28" s="45"/>
    </row>
    <row r="29" spans="1:25" ht="12.75">
      <c r="A29" s="126"/>
      <c r="E29" s="2"/>
      <c r="F29" s="129"/>
      <c r="G29" s="129"/>
      <c r="H29" s="129"/>
      <c r="I29" s="129"/>
      <c r="J29" s="129"/>
      <c r="K29" s="129"/>
      <c r="L29" s="129"/>
      <c r="M29" s="129"/>
      <c r="N29" s="129"/>
      <c r="O29" s="129"/>
      <c r="P29" s="2"/>
      <c r="Q29" s="129"/>
      <c r="R29" s="129" t="s">
        <v>45</v>
      </c>
      <c r="S29" s="129" t="s">
        <v>50</v>
      </c>
      <c r="T29" s="129"/>
      <c r="U29" s="129"/>
      <c r="V29" s="61"/>
      <c r="W29" s="129"/>
      <c r="X29" s="343">
        <f>-je!C156/1000</f>
        <v>-3044.5181</v>
      </c>
      <c r="Y29" s="45"/>
    </row>
    <row r="30" spans="1:25" ht="12.75">
      <c r="A30" s="126"/>
      <c r="E30" s="2"/>
      <c r="F30" s="129"/>
      <c r="G30" s="129"/>
      <c r="H30" s="129"/>
      <c r="I30" s="129"/>
      <c r="J30" s="129"/>
      <c r="K30" s="129"/>
      <c r="L30" s="129"/>
      <c r="M30" s="129"/>
      <c r="N30" s="129"/>
      <c r="O30" s="129"/>
      <c r="P30" s="2"/>
      <c r="Q30" s="129"/>
      <c r="R30" s="129" t="s">
        <v>46</v>
      </c>
      <c r="S30" s="129" t="s">
        <v>47</v>
      </c>
      <c r="T30" s="129"/>
      <c r="U30" s="129"/>
      <c r="V30" s="61"/>
      <c r="W30" s="129"/>
      <c r="X30" s="343">
        <f>-je!C160/1000-je!D161/1000</f>
        <v>-1619.451</v>
      </c>
      <c r="Y30" s="45"/>
    </row>
    <row r="31" spans="1:25" ht="12.75">
      <c r="A31" s="126"/>
      <c r="E31" s="2"/>
      <c r="F31" s="129"/>
      <c r="G31" s="129"/>
      <c r="H31" s="129"/>
      <c r="I31" s="129"/>
      <c r="J31" s="129"/>
      <c r="K31" s="129"/>
      <c r="L31" s="129"/>
      <c r="M31" s="129"/>
      <c r="N31" s="129"/>
      <c r="O31" s="129"/>
      <c r="P31" s="2"/>
      <c r="Q31" s="129"/>
      <c r="R31" s="129" t="s">
        <v>85</v>
      </c>
      <c r="S31" s="129" t="s">
        <v>87</v>
      </c>
      <c r="T31" s="129"/>
      <c r="U31" s="129"/>
      <c r="V31" s="61"/>
      <c r="W31" s="129"/>
      <c r="X31" s="343">
        <f>+je!C166/1000</f>
        <v>13997.631</v>
      </c>
      <c r="Y31" s="45"/>
    </row>
    <row r="32" spans="1:25" ht="12.75">
      <c r="A32" s="126"/>
      <c r="E32" s="2"/>
      <c r="F32" s="129"/>
      <c r="G32" s="129"/>
      <c r="H32" s="129"/>
      <c r="I32" s="129"/>
      <c r="J32" s="129"/>
      <c r="K32" s="129"/>
      <c r="L32" s="129"/>
      <c r="M32" s="129"/>
      <c r="N32" s="129"/>
      <c r="O32" s="129"/>
      <c r="P32" s="2"/>
      <c r="Q32" s="129"/>
      <c r="R32" s="129" t="s">
        <v>1315</v>
      </c>
      <c r="S32" s="129" t="s">
        <v>1220</v>
      </c>
      <c r="T32" s="116"/>
      <c r="U32" s="116"/>
      <c r="V32" s="61"/>
      <c r="W32" s="129"/>
      <c r="X32" s="343">
        <f>+working!C35</f>
        <v>-994.5519999999999</v>
      </c>
      <c r="Y32" s="45"/>
    </row>
    <row r="33" spans="1:25" ht="12.75">
      <c r="A33" s="126"/>
      <c r="E33" s="2"/>
      <c r="F33" s="129"/>
      <c r="G33" s="129"/>
      <c r="H33" s="129"/>
      <c r="I33" s="129"/>
      <c r="J33" s="129"/>
      <c r="K33" s="129"/>
      <c r="L33" s="129"/>
      <c r="M33" s="129"/>
      <c r="N33" s="129"/>
      <c r="O33" s="129"/>
      <c r="P33" s="2"/>
      <c r="Q33" s="129"/>
      <c r="R33" s="129" t="s">
        <v>210</v>
      </c>
      <c r="S33" s="129" t="s">
        <v>310</v>
      </c>
      <c r="T33" s="116"/>
      <c r="U33" s="116"/>
      <c r="V33" s="61"/>
      <c r="W33" s="129"/>
      <c r="X33" s="343">
        <f>+je!C170/1000</f>
        <v>4031.97</v>
      </c>
      <c r="Y33" s="45"/>
    </row>
    <row r="34" spans="1:25" ht="12.75">
      <c r="A34" s="126"/>
      <c r="E34" s="2"/>
      <c r="F34" s="129"/>
      <c r="G34" s="129"/>
      <c r="H34" s="129"/>
      <c r="I34" s="129"/>
      <c r="J34" s="129"/>
      <c r="K34" s="129"/>
      <c r="L34" s="129"/>
      <c r="M34" s="129"/>
      <c r="N34" s="129"/>
      <c r="O34" s="129"/>
      <c r="P34" s="2"/>
      <c r="Q34" s="129"/>
      <c r="R34" s="129" t="s">
        <v>1441</v>
      </c>
      <c r="S34" s="129" t="s">
        <v>1440</v>
      </c>
      <c r="T34" s="116"/>
      <c r="U34" s="116"/>
      <c r="V34" s="61"/>
      <c r="W34" s="129"/>
      <c r="X34" s="343">
        <f>-je!D182/1000-je!N186/1000-je!N197/1000</f>
        <v>3350.043</v>
      </c>
      <c r="Y34" s="45"/>
    </row>
    <row r="35" spans="1:25" ht="13.5" thickBot="1">
      <c r="A35" s="126"/>
      <c r="E35" s="2"/>
      <c r="F35" s="129"/>
      <c r="G35" s="129"/>
      <c r="H35" s="129"/>
      <c r="I35" s="129"/>
      <c r="J35" s="129"/>
      <c r="K35" s="129"/>
      <c r="L35" s="129"/>
      <c r="M35" s="129"/>
      <c r="N35" s="129"/>
      <c r="O35" s="129"/>
      <c r="P35" s="2"/>
      <c r="Q35" s="129"/>
      <c r="R35" s="2" t="s">
        <v>1041</v>
      </c>
      <c r="S35" s="2" t="s">
        <v>1042</v>
      </c>
      <c r="T35" s="116"/>
      <c r="U35" s="116"/>
      <c r="V35" s="61"/>
      <c r="W35" s="129"/>
      <c r="X35" s="511">
        <f>je!C176/1000</f>
        <v>-352.826</v>
      </c>
      <c r="Y35" s="45"/>
    </row>
    <row r="36" spans="1:25" ht="12.75">
      <c r="A36" s="126"/>
      <c r="E36" s="2"/>
      <c r="F36" s="129"/>
      <c r="G36" s="129"/>
      <c r="H36" s="129"/>
      <c r="I36" s="129"/>
      <c r="J36" s="129"/>
      <c r="K36" s="129"/>
      <c r="L36" s="129"/>
      <c r="M36" s="129"/>
      <c r="N36" s="129"/>
      <c r="O36" s="129"/>
      <c r="P36" s="129"/>
      <c r="Q36" s="144"/>
      <c r="R36" s="144"/>
      <c r="S36" s="144"/>
      <c r="T36" s="144"/>
      <c r="U36" s="144"/>
      <c r="V36" s="129"/>
      <c r="W36" s="129"/>
      <c r="X36" s="130"/>
      <c r="Y36" s="3"/>
    </row>
    <row r="37" spans="1:25" ht="12.75">
      <c r="A37" s="126"/>
      <c r="E37" s="2"/>
      <c r="F37" s="129"/>
      <c r="G37" s="129"/>
      <c r="H37" s="129"/>
      <c r="I37" s="129"/>
      <c r="J37" s="129"/>
      <c r="K37" s="129"/>
      <c r="L37" s="129"/>
      <c r="M37" s="129"/>
      <c r="N37" s="129"/>
      <c r="O37" s="129"/>
      <c r="P37" s="129"/>
      <c r="Q37" s="129"/>
      <c r="R37" s="129"/>
      <c r="S37" s="129"/>
      <c r="T37" s="129"/>
      <c r="U37" s="129"/>
      <c r="V37" s="129"/>
      <c r="W37" s="129"/>
      <c r="X37" s="145">
        <f>SUM(X24:X36)</f>
        <v>67915.9209</v>
      </c>
      <c r="Y37" s="3"/>
    </row>
    <row r="38" spans="1:25" ht="12.75">
      <c r="A38" s="126"/>
      <c r="E38" s="2"/>
      <c r="F38" s="129"/>
      <c r="G38" s="129"/>
      <c r="H38" s="129"/>
      <c r="I38" s="129"/>
      <c r="J38" s="129"/>
      <c r="K38" s="129"/>
      <c r="L38" s="129"/>
      <c r="M38" s="129"/>
      <c r="N38" s="129"/>
      <c r="O38" s="129"/>
      <c r="P38" s="129"/>
      <c r="Q38" s="129"/>
      <c r="R38" s="129"/>
      <c r="S38" s="129"/>
      <c r="T38" s="129"/>
      <c r="U38" s="129"/>
      <c r="V38" s="129"/>
      <c r="W38" s="129"/>
      <c r="X38" s="146"/>
      <c r="Y38" s="3"/>
    </row>
    <row r="39" spans="1:24" ht="12.75">
      <c r="A39" s="126"/>
      <c r="E39" s="2"/>
      <c r="F39" s="129"/>
      <c r="G39" s="129"/>
      <c r="H39" s="129"/>
      <c r="I39" s="129"/>
      <c r="J39" s="129"/>
      <c r="K39" s="129"/>
      <c r="L39" s="129"/>
      <c r="M39" s="129"/>
      <c r="N39" s="129"/>
      <c r="O39" s="129"/>
      <c r="P39" s="129"/>
      <c r="Q39" s="129"/>
      <c r="R39" s="129"/>
      <c r="S39" s="129"/>
      <c r="T39" s="129"/>
      <c r="U39" s="129"/>
      <c r="V39" s="129"/>
      <c r="W39" s="129"/>
      <c r="X39" s="147">
        <f>X37+X22</f>
        <v>8688.383910800003</v>
      </c>
    </row>
    <row r="40" spans="1:24" ht="12.75">
      <c r="A40" s="120"/>
      <c r="E40" s="2"/>
      <c r="F40" s="129"/>
      <c r="G40" s="129"/>
      <c r="H40" s="129"/>
      <c r="I40" s="129"/>
      <c r="J40" s="129"/>
      <c r="K40" s="129"/>
      <c r="L40" s="129"/>
      <c r="M40" s="129"/>
      <c r="N40" s="129"/>
      <c r="O40" s="129"/>
      <c r="P40" s="129"/>
      <c r="Q40" s="129"/>
      <c r="R40" s="129"/>
      <c r="S40" s="129"/>
      <c r="T40" s="129"/>
      <c r="U40" s="129"/>
      <c r="V40" s="129"/>
      <c r="W40" s="129"/>
      <c r="X40" s="130"/>
    </row>
    <row r="41" spans="1:24" ht="12.75">
      <c r="A41" s="120"/>
      <c r="E41" s="2"/>
      <c r="F41" s="129"/>
      <c r="G41" s="129"/>
      <c r="H41" s="129"/>
      <c r="I41" s="129"/>
      <c r="J41" s="129"/>
      <c r="K41" s="129"/>
      <c r="L41" s="129"/>
      <c r="M41" s="129"/>
      <c r="N41" s="129"/>
      <c r="O41" s="129"/>
      <c r="P41" s="129"/>
      <c r="Q41" s="129"/>
      <c r="R41" s="129"/>
      <c r="S41" s="129"/>
      <c r="T41" s="129"/>
      <c r="U41" s="129"/>
      <c r="V41" s="129" t="s">
        <v>1067</v>
      </c>
      <c r="W41" s="129"/>
      <c r="X41" s="130"/>
    </row>
    <row r="42" spans="1:24" ht="12.75">
      <c r="A42" s="120"/>
      <c r="E42" s="2"/>
      <c r="F42" s="129"/>
      <c r="G42" s="129"/>
      <c r="H42" s="129"/>
      <c r="I42" s="129"/>
      <c r="J42" s="129"/>
      <c r="K42" s="129"/>
      <c r="L42" s="129"/>
      <c r="M42" s="129"/>
      <c r="N42" s="129"/>
      <c r="O42" s="129"/>
      <c r="P42" s="129"/>
      <c r="Q42" s="129"/>
      <c r="R42" s="129"/>
      <c r="S42" s="129"/>
      <c r="T42" s="129"/>
      <c r="U42" s="129"/>
      <c r="V42" s="129" t="s">
        <v>1062</v>
      </c>
      <c r="W42" s="129"/>
      <c r="X42" s="148">
        <v>0</v>
      </c>
    </row>
    <row r="43" spans="1:24" ht="13.5" thickBot="1">
      <c r="A43" s="120"/>
      <c r="E43" s="2"/>
      <c r="F43" s="129"/>
      <c r="G43" s="129"/>
      <c r="H43" s="129"/>
      <c r="I43" s="129"/>
      <c r="J43" s="129"/>
      <c r="K43" s="129"/>
      <c r="L43" s="129"/>
      <c r="M43" s="129"/>
      <c r="N43" s="129"/>
      <c r="O43" s="129"/>
      <c r="P43" s="129"/>
      <c r="Q43" s="129"/>
      <c r="R43" s="129"/>
      <c r="S43" s="129"/>
      <c r="T43" s="129"/>
      <c r="U43" s="129"/>
      <c r="V43" s="129" t="s">
        <v>1131</v>
      </c>
      <c r="W43" s="129"/>
      <c r="X43" s="149">
        <f>-je!D41/1000-je!N118/1000-je!N120/1000</f>
        <v>6587.179</v>
      </c>
    </row>
    <row r="44" spans="1:24" ht="12.75">
      <c r="A44" s="120"/>
      <c r="E44" s="2"/>
      <c r="F44" s="129"/>
      <c r="G44" s="129"/>
      <c r="H44" s="129"/>
      <c r="I44" s="129"/>
      <c r="J44" s="129"/>
      <c r="K44" s="129"/>
      <c r="L44" s="129"/>
      <c r="M44" s="129"/>
      <c r="N44" s="129"/>
      <c r="O44" s="129"/>
      <c r="P44" s="129"/>
      <c r="Q44" s="129"/>
      <c r="R44" s="129"/>
      <c r="S44" s="129"/>
      <c r="T44" s="129"/>
      <c r="U44" s="129"/>
      <c r="V44" s="129"/>
      <c r="W44" s="129"/>
      <c r="X44" s="130">
        <f>SUM(X42:X43)</f>
        <v>6587.179</v>
      </c>
    </row>
    <row r="45" spans="1:24" ht="12.75">
      <c r="A45" s="120"/>
      <c r="B45" s="121"/>
      <c r="C45" s="121"/>
      <c r="D45" s="121"/>
      <c r="E45" s="129"/>
      <c r="F45" s="129"/>
      <c r="G45" s="129"/>
      <c r="H45" s="129"/>
      <c r="I45" s="121"/>
      <c r="J45" s="61"/>
      <c r="K45" s="61"/>
      <c r="L45" s="61"/>
      <c r="M45" s="61"/>
      <c r="N45" s="61"/>
      <c r="O45" s="129"/>
      <c r="P45" s="2"/>
      <c r="Q45" s="129"/>
      <c r="R45" s="129"/>
      <c r="S45" s="129"/>
      <c r="T45" s="129"/>
      <c r="U45" s="129"/>
      <c r="V45" s="129"/>
      <c r="W45" s="129"/>
      <c r="X45" s="146"/>
    </row>
    <row r="46" spans="1:24" ht="12.75">
      <c r="A46" s="120"/>
      <c r="B46" s="121"/>
      <c r="C46" s="121"/>
      <c r="D46" s="121"/>
      <c r="E46" s="129"/>
      <c r="F46" s="129"/>
      <c r="G46" s="129"/>
      <c r="H46" s="129"/>
      <c r="I46" s="61"/>
      <c r="J46" s="61"/>
      <c r="K46" s="61"/>
      <c r="L46" s="61"/>
      <c r="M46" s="61"/>
      <c r="N46" s="61"/>
      <c r="O46" s="129"/>
      <c r="P46" s="2"/>
      <c r="Q46" s="129"/>
      <c r="R46" s="129"/>
      <c r="S46" s="129"/>
      <c r="T46" s="129"/>
      <c r="U46" s="129"/>
      <c r="V46" s="129" t="s">
        <v>329</v>
      </c>
      <c r="W46" s="129"/>
      <c r="X46" s="130">
        <f>X44+X39</f>
        <v>15275.562910800003</v>
      </c>
    </row>
    <row r="47" spans="1:24" ht="12.75">
      <c r="A47" s="120"/>
      <c r="B47" s="121"/>
      <c r="C47" s="121"/>
      <c r="D47" s="121"/>
      <c r="E47" s="129"/>
      <c r="F47" s="129"/>
      <c r="G47" s="129"/>
      <c r="H47" s="129"/>
      <c r="I47" s="61"/>
      <c r="J47" s="61"/>
      <c r="K47" s="61"/>
      <c r="L47" s="61"/>
      <c r="M47" s="61"/>
      <c r="N47" s="129"/>
      <c r="O47" s="129"/>
      <c r="P47" s="2"/>
      <c r="Q47" s="129"/>
      <c r="R47" s="129"/>
      <c r="S47" s="129"/>
      <c r="T47" s="129"/>
      <c r="U47" s="129"/>
      <c r="V47" s="129"/>
      <c r="W47" s="129"/>
      <c r="X47" s="130"/>
    </row>
    <row r="48" spans="1:24" ht="12.75">
      <c r="A48" s="120"/>
      <c r="B48" s="121"/>
      <c r="C48" s="121"/>
      <c r="D48" s="121"/>
      <c r="E48" s="129"/>
      <c r="F48" s="129"/>
      <c r="G48" s="129"/>
      <c r="H48" s="129"/>
      <c r="I48" s="61"/>
      <c r="J48" s="61"/>
      <c r="K48" s="61"/>
      <c r="L48" s="61"/>
      <c r="M48" s="61"/>
      <c r="N48" s="129"/>
      <c r="O48" s="129"/>
      <c r="P48" s="2"/>
      <c r="Q48" s="129"/>
      <c r="R48" s="129"/>
      <c r="S48" s="129"/>
      <c r="T48" s="129"/>
      <c r="U48" s="129"/>
      <c r="V48" s="129"/>
      <c r="W48" s="129"/>
      <c r="X48" s="130"/>
    </row>
    <row r="49" spans="1:25" ht="12.75">
      <c r="A49" s="120"/>
      <c r="B49" s="121"/>
      <c r="C49" s="121"/>
      <c r="D49" s="121"/>
      <c r="E49" s="129"/>
      <c r="F49" s="129"/>
      <c r="G49" s="129"/>
      <c r="H49" s="129"/>
      <c r="I49" s="61"/>
      <c r="J49" s="61"/>
      <c r="K49" s="61"/>
      <c r="L49" s="61"/>
      <c r="M49" s="61"/>
      <c r="N49" s="129"/>
      <c r="O49" s="129"/>
      <c r="P49" s="2"/>
      <c r="Q49" s="129"/>
      <c r="R49" s="129"/>
      <c r="S49" s="129"/>
      <c r="T49" s="129"/>
      <c r="U49" s="129"/>
      <c r="V49" s="129" t="s">
        <v>1072</v>
      </c>
      <c r="W49" s="129"/>
      <c r="X49" s="130">
        <f>-working!D49-working!D54</f>
        <v>-2724.7740000000003</v>
      </c>
      <c r="Y49" s="150"/>
    </row>
    <row r="50" spans="1:25" ht="12.75">
      <c r="A50" s="120"/>
      <c r="B50" s="121"/>
      <c r="C50" s="121"/>
      <c r="D50" s="121"/>
      <c r="E50" s="129"/>
      <c r="F50" s="129"/>
      <c r="G50" s="129"/>
      <c r="H50" s="129"/>
      <c r="I50" s="61"/>
      <c r="J50" s="61"/>
      <c r="K50" s="61"/>
      <c r="L50" s="61"/>
      <c r="M50" s="61"/>
      <c r="N50" s="129"/>
      <c r="O50" s="129"/>
      <c r="P50" s="2"/>
      <c r="Q50" s="129"/>
      <c r="R50" s="129"/>
      <c r="S50" s="129"/>
      <c r="T50" s="129"/>
      <c r="U50" s="129"/>
      <c r="V50" s="129"/>
      <c r="W50" s="129"/>
      <c r="X50" s="151">
        <f>SUM(X46:X49)</f>
        <v>12550.788910800002</v>
      </c>
      <c r="Y50" s="150"/>
    </row>
    <row r="51" spans="1:24" ht="12.75">
      <c r="A51" s="120"/>
      <c r="B51" s="121"/>
      <c r="C51" s="121"/>
      <c r="D51" s="121"/>
      <c r="E51" s="129"/>
      <c r="F51" s="129"/>
      <c r="G51" s="129"/>
      <c r="H51" s="129"/>
      <c r="I51" s="61"/>
      <c r="J51" s="61"/>
      <c r="K51" s="61"/>
      <c r="L51" s="61"/>
      <c r="M51" s="61"/>
      <c r="N51" s="129"/>
      <c r="O51" s="129"/>
      <c r="P51" s="2"/>
      <c r="Q51" s="129"/>
      <c r="R51" s="129"/>
      <c r="S51" s="129"/>
      <c r="T51" s="129"/>
      <c r="U51" s="129"/>
      <c r="V51" s="129"/>
      <c r="W51" s="129"/>
      <c r="X51" s="130"/>
    </row>
    <row r="52" spans="1:24" ht="12.75">
      <c r="A52" s="120"/>
      <c r="B52" s="121"/>
      <c r="C52" s="121"/>
      <c r="D52" s="121"/>
      <c r="E52" s="129"/>
      <c r="F52" s="129"/>
      <c r="G52" s="129"/>
      <c r="H52" s="129"/>
      <c r="I52" s="121"/>
      <c r="J52" s="121"/>
      <c r="K52" s="121"/>
      <c r="L52" s="121"/>
      <c r="M52" s="121"/>
      <c r="N52" s="129"/>
      <c r="O52" s="129"/>
      <c r="P52" s="2"/>
      <c r="Q52" s="129"/>
      <c r="R52" s="129"/>
      <c r="S52" s="129"/>
      <c r="T52" s="129"/>
      <c r="U52" s="129"/>
      <c r="V52" s="129" t="s">
        <v>1063</v>
      </c>
      <c r="W52" s="129"/>
      <c r="X52" s="130">
        <f>-je!N60/1000-je!N67/1000</f>
        <v>0</v>
      </c>
    </row>
    <row r="53" spans="1:24" ht="12.75">
      <c r="A53" s="120"/>
      <c r="B53" s="121"/>
      <c r="C53" s="121"/>
      <c r="D53" s="121"/>
      <c r="E53" s="129"/>
      <c r="F53" s="129"/>
      <c r="G53" s="129"/>
      <c r="H53" s="129"/>
      <c r="I53" s="121"/>
      <c r="J53" s="121"/>
      <c r="K53" s="121"/>
      <c r="L53" s="121"/>
      <c r="M53" s="121"/>
      <c r="N53" s="129"/>
      <c r="O53" s="129"/>
      <c r="P53" s="2"/>
      <c r="Q53" s="129"/>
      <c r="R53" s="129"/>
      <c r="S53" s="129"/>
      <c r="T53" s="129"/>
      <c r="U53" s="129"/>
      <c r="V53" s="129"/>
      <c r="W53" s="129"/>
      <c r="X53" s="151">
        <f>X50+X52</f>
        <v>12550.788910800002</v>
      </c>
    </row>
    <row r="54" spans="1:24" ht="12.75">
      <c r="A54" s="120"/>
      <c r="B54" s="121"/>
      <c r="C54" s="121"/>
      <c r="D54" s="121"/>
      <c r="E54" s="129"/>
      <c r="F54" s="129"/>
      <c r="G54" s="129"/>
      <c r="H54" s="129"/>
      <c r="I54" s="121"/>
      <c r="J54" s="121"/>
      <c r="K54" s="121"/>
      <c r="L54" s="121"/>
      <c r="M54" s="121"/>
      <c r="N54" s="129"/>
      <c r="O54" s="129"/>
      <c r="P54" s="2"/>
      <c r="Q54" s="129"/>
      <c r="R54" s="129"/>
      <c r="S54" s="129"/>
      <c r="T54" s="129"/>
      <c r="U54" s="129"/>
      <c r="V54" s="129"/>
      <c r="W54" s="129"/>
      <c r="X54" s="130"/>
    </row>
    <row r="55" spans="1:26" ht="12.75">
      <c r="A55" s="120"/>
      <c r="B55" s="121"/>
      <c r="C55" s="121"/>
      <c r="D55" s="121"/>
      <c r="E55" s="129"/>
      <c r="F55" s="129"/>
      <c r="G55" s="129"/>
      <c r="H55" s="129"/>
      <c r="I55" s="61"/>
      <c r="J55" s="121"/>
      <c r="K55" s="121"/>
      <c r="L55" s="121"/>
      <c r="M55" s="121"/>
      <c r="N55" s="129"/>
      <c r="O55" s="129"/>
      <c r="P55" s="2"/>
      <c r="Q55" s="129"/>
      <c r="R55" s="129"/>
      <c r="S55" s="129"/>
      <c r="T55" s="129"/>
      <c r="U55" s="129"/>
      <c r="V55" s="129" t="s">
        <v>1064</v>
      </c>
      <c r="W55" s="61"/>
      <c r="X55" s="130">
        <f>+'B. Sheet'!Z71</f>
        <v>11062.193549999993</v>
      </c>
      <c r="Z55" s="119"/>
    </row>
    <row r="56" spans="1:24" ht="12.75">
      <c r="A56" s="120"/>
      <c r="B56" s="121"/>
      <c r="C56" s="121"/>
      <c r="D56" s="121"/>
      <c r="E56" s="129"/>
      <c r="F56" s="129"/>
      <c r="G56" s="129"/>
      <c r="H56" s="129"/>
      <c r="I56" s="121"/>
      <c r="J56" s="121"/>
      <c r="K56" s="121"/>
      <c r="L56" s="121"/>
      <c r="M56" s="121"/>
      <c r="N56" s="129"/>
      <c r="O56" s="129"/>
      <c r="P56" s="2"/>
      <c r="Q56" s="129"/>
      <c r="R56" s="129"/>
      <c r="S56" s="129"/>
      <c r="T56" s="129"/>
      <c r="U56" s="129"/>
      <c r="V56" s="129"/>
      <c r="W56" s="129"/>
      <c r="X56" s="130"/>
    </row>
    <row r="57" spans="1:24" ht="13.5" thickBot="1">
      <c r="A57" s="120"/>
      <c r="B57" s="121"/>
      <c r="C57" s="121"/>
      <c r="D57" s="121"/>
      <c r="E57" s="129"/>
      <c r="F57" s="129"/>
      <c r="G57" s="129"/>
      <c r="H57" s="129"/>
      <c r="I57" s="129"/>
      <c r="J57" s="121"/>
      <c r="K57" s="121"/>
      <c r="L57" s="121"/>
      <c r="M57" s="121"/>
      <c r="N57" s="129"/>
      <c r="O57" s="129"/>
      <c r="P57" s="2"/>
      <c r="Q57" s="129"/>
      <c r="R57" s="129"/>
      <c r="S57" s="129"/>
      <c r="T57" s="129"/>
      <c r="U57" s="129"/>
      <c r="V57" s="129" t="s">
        <v>1065</v>
      </c>
      <c r="W57" s="129"/>
      <c r="X57" s="152">
        <f>X53-X55</f>
        <v>1488.595360800009</v>
      </c>
    </row>
    <row r="58" spans="1:24" ht="13.5" thickTop="1">
      <c r="A58" s="120"/>
      <c r="B58" s="121"/>
      <c r="C58" s="121"/>
      <c r="D58" s="121"/>
      <c r="E58" s="129"/>
      <c r="F58" s="129"/>
      <c r="G58" s="129"/>
      <c r="H58" s="129"/>
      <c r="I58" s="121"/>
      <c r="J58" s="121"/>
      <c r="K58" s="121"/>
      <c r="L58" s="121"/>
      <c r="M58" s="121"/>
      <c r="N58" s="132"/>
      <c r="O58" s="129"/>
      <c r="P58" s="2"/>
      <c r="Q58" s="129"/>
      <c r="R58" s="129"/>
      <c r="S58" s="129"/>
      <c r="T58" s="129"/>
      <c r="U58" s="129"/>
      <c r="V58" s="129"/>
      <c r="W58" s="129"/>
      <c r="X58" s="145"/>
    </row>
    <row r="59" spans="1:24" ht="13.5" thickBot="1">
      <c r="A59" s="153"/>
      <c r="B59" s="154"/>
      <c r="C59" s="154"/>
      <c r="D59" s="154"/>
      <c r="E59" s="155"/>
      <c r="F59" s="155"/>
      <c r="G59" s="155"/>
      <c r="H59" s="155"/>
      <c r="I59" s="155"/>
      <c r="J59" s="155"/>
      <c r="K59" s="155"/>
      <c r="L59" s="155"/>
      <c r="M59" s="155"/>
      <c r="N59" s="155"/>
      <c r="O59" s="155"/>
      <c r="P59" s="155"/>
      <c r="Q59" s="155"/>
      <c r="R59" s="155"/>
      <c r="S59" s="155"/>
      <c r="T59" s="155"/>
      <c r="U59" s="155"/>
      <c r="V59" s="155"/>
      <c r="W59" s="155"/>
      <c r="X59" s="156"/>
    </row>
    <row r="60" spans="1:4" ht="13.5" thickTop="1">
      <c r="A60" s="60"/>
      <c r="B60" s="60"/>
      <c r="C60" s="60"/>
      <c r="D60" s="60"/>
    </row>
    <row r="61" spans="1:4" ht="12.75">
      <c r="A61" s="60"/>
      <c r="B61" s="60"/>
      <c r="C61" s="60"/>
      <c r="D61" s="60"/>
    </row>
    <row r="62" spans="1:4" ht="12.75">
      <c r="A62" s="60"/>
      <c r="B62" s="60"/>
      <c r="C62" s="60"/>
      <c r="D62" s="60"/>
    </row>
    <row r="63" spans="1:4" ht="12.75">
      <c r="A63" s="60"/>
      <c r="B63" s="60"/>
      <c r="C63" s="60"/>
      <c r="D63" s="60"/>
    </row>
    <row r="64" spans="1:4" ht="12.75">
      <c r="A64" s="60"/>
      <c r="B64" s="60"/>
      <c r="C64" s="60"/>
      <c r="D64" s="60"/>
    </row>
    <row r="65" spans="1:4" ht="12.75">
      <c r="A65" s="60"/>
      <c r="B65" s="60"/>
      <c r="C65" s="60"/>
      <c r="D65" s="60"/>
    </row>
    <row r="66" spans="1:4" ht="12.75">
      <c r="A66" s="60"/>
      <c r="B66" s="60"/>
      <c r="C66" s="60"/>
      <c r="D66" s="60"/>
    </row>
    <row r="67" spans="1:4" ht="12.75">
      <c r="A67" s="60"/>
      <c r="B67" s="60"/>
      <c r="C67" s="60"/>
      <c r="D67" s="60"/>
    </row>
    <row r="68" spans="1:4" ht="12.75">
      <c r="A68" s="60"/>
      <c r="B68" s="60"/>
      <c r="C68" s="60"/>
      <c r="D68" s="60"/>
    </row>
    <row r="69" spans="1:4" ht="12.75">
      <c r="A69" s="60"/>
      <c r="B69" s="60"/>
      <c r="C69" s="60"/>
      <c r="D69" s="60"/>
    </row>
    <row r="70" spans="1:4" ht="12.75">
      <c r="A70" s="60"/>
      <c r="B70" s="60"/>
      <c r="C70" s="60"/>
      <c r="D70" s="60"/>
    </row>
    <row r="71" spans="1:4" ht="12.75">
      <c r="A71" s="60"/>
      <c r="B71" s="60"/>
      <c r="C71" s="60"/>
      <c r="D71" s="60"/>
    </row>
    <row r="72" spans="1:4" ht="12.75">
      <c r="A72" s="60"/>
      <c r="B72" s="60"/>
      <c r="C72" s="60"/>
      <c r="D72" s="60"/>
    </row>
    <row r="73" spans="1:4" ht="12.75">
      <c r="A73" s="60"/>
      <c r="B73" s="60"/>
      <c r="C73" s="60"/>
      <c r="D73" s="60"/>
    </row>
    <row r="74" spans="1:4" ht="12.75">
      <c r="A74" s="60"/>
      <c r="B74" s="60"/>
      <c r="C74" s="60"/>
      <c r="D74" s="60"/>
    </row>
    <row r="75" spans="1:4" ht="12.75">
      <c r="A75" s="60"/>
      <c r="B75" s="60"/>
      <c r="C75" s="60"/>
      <c r="D75" s="60"/>
    </row>
    <row r="76" spans="1:4" ht="12.75">
      <c r="A76" s="60"/>
      <c r="B76" s="60"/>
      <c r="C76" s="60"/>
      <c r="D76" s="60"/>
    </row>
    <row r="77" spans="1:4" ht="12.75">
      <c r="A77" s="60"/>
      <c r="B77" s="60"/>
      <c r="C77" s="60"/>
      <c r="D77" s="60"/>
    </row>
    <row r="78" spans="1:4" ht="12.75">
      <c r="A78" s="60"/>
      <c r="B78" s="60"/>
      <c r="C78" s="60"/>
      <c r="D78" s="60"/>
    </row>
    <row r="79" spans="1:4" ht="12.75">
      <c r="A79" s="60"/>
      <c r="B79" s="60"/>
      <c r="C79" s="60"/>
      <c r="D79" s="60"/>
    </row>
    <row r="80" spans="1:4" ht="12.75">
      <c r="A80" s="60"/>
      <c r="B80" s="60"/>
      <c r="C80" s="60"/>
      <c r="D80" s="60"/>
    </row>
    <row r="81" spans="1:4" ht="12.75">
      <c r="A81" s="60"/>
      <c r="B81" s="60"/>
      <c r="C81" s="60"/>
      <c r="D81" s="60"/>
    </row>
    <row r="82" spans="1:4" ht="12.75">
      <c r="A82" s="60"/>
      <c r="B82" s="60"/>
      <c r="C82" s="60"/>
      <c r="D82" s="60"/>
    </row>
    <row r="83" spans="1:4" ht="12.75">
      <c r="A83" s="60"/>
      <c r="B83" s="60"/>
      <c r="C83" s="60"/>
      <c r="D83" s="60"/>
    </row>
    <row r="84" spans="1:4" ht="12.75">
      <c r="A84" s="60"/>
      <c r="B84" s="60"/>
      <c r="C84" s="60"/>
      <c r="D84" s="60"/>
    </row>
    <row r="85" spans="1:4" ht="12.75">
      <c r="A85" s="60"/>
      <c r="B85" s="60"/>
      <c r="C85" s="60"/>
      <c r="D85" s="60"/>
    </row>
    <row r="86" spans="1:4" ht="12.75">
      <c r="A86" s="60"/>
      <c r="B86" s="60"/>
      <c r="C86" s="60"/>
      <c r="D86" s="60"/>
    </row>
    <row r="87" spans="1:4" ht="12.75">
      <c r="A87" s="60"/>
      <c r="B87" s="60"/>
      <c r="C87" s="60"/>
      <c r="D87" s="60"/>
    </row>
    <row r="88" spans="1:4" ht="12.75">
      <c r="A88" s="60"/>
      <c r="B88" s="60"/>
      <c r="C88" s="60"/>
      <c r="D88" s="60"/>
    </row>
    <row r="89" spans="1:4" ht="12.75">
      <c r="A89" s="60"/>
      <c r="B89" s="60"/>
      <c r="C89" s="60"/>
      <c r="D89" s="60"/>
    </row>
    <row r="90" spans="1:4" ht="12.75">
      <c r="A90" s="60"/>
      <c r="B90" s="60"/>
      <c r="C90" s="60"/>
      <c r="D90" s="60"/>
    </row>
    <row r="91" spans="1:4" ht="12.75">
      <c r="A91" s="60"/>
      <c r="B91" s="60"/>
      <c r="C91" s="60"/>
      <c r="D91" s="60"/>
    </row>
    <row r="92" spans="1:4" ht="12.75">
      <c r="A92" s="60"/>
      <c r="B92" s="60"/>
      <c r="C92" s="60"/>
      <c r="D92" s="60"/>
    </row>
    <row r="93" spans="1:4" ht="12.75">
      <c r="A93" s="60"/>
      <c r="B93" s="60"/>
      <c r="C93" s="60"/>
      <c r="D93" s="60"/>
    </row>
    <row r="94" spans="1:4" ht="12.75">
      <c r="A94" s="60"/>
      <c r="B94" s="60"/>
      <c r="C94" s="60"/>
      <c r="D94" s="60"/>
    </row>
    <row r="95" spans="1:4" ht="12.75">
      <c r="A95" s="60"/>
      <c r="B95" s="60"/>
      <c r="C95" s="60"/>
      <c r="D95" s="60"/>
    </row>
    <row r="96" spans="1:4" ht="12.75">
      <c r="A96" s="60"/>
      <c r="B96" s="60"/>
      <c r="C96" s="60"/>
      <c r="D96" s="60"/>
    </row>
    <row r="97" spans="1:4" ht="12.75">
      <c r="A97" s="60"/>
      <c r="B97" s="60"/>
      <c r="C97" s="60"/>
      <c r="D97" s="60"/>
    </row>
    <row r="98" spans="1:4" ht="12.75">
      <c r="A98" s="60"/>
      <c r="B98" s="60"/>
      <c r="C98" s="60"/>
      <c r="D98" s="60"/>
    </row>
    <row r="99" spans="1:4" ht="12.75">
      <c r="A99" s="60"/>
      <c r="B99" s="60"/>
      <c r="C99" s="60"/>
      <c r="D99" s="60"/>
    </row>
    <row r="100" spans="1:4" ht="12.75">
      <c r="A100" s="60"/>
      <c r="B100" s="60"/>
      <c r="C100" s="60"/>
      <c r="D100" s="60"/>
    </row>
    <row r="101" spans="1:4" ht="12.75">
      <c r="A101" s="60"/>
      <c r="B101" s="60"/>
      <c r="C101" s="60"/>
      <c r="D101" s="60"/>
    </row>
    <row r="102" spans="1:4" ht="12.75">
      <c r="A102" s="60"/>
      <c r="B102" s="60"/>
      <c r="C102" s="60"/>
      <c r="D102" s="60"/>
    </row>
    <row r="103" spans="1:4" ht="12.75">
      <c r="A103" s="60"/>
      <c r="B103" s="60"/>
      <c r="C103" s="60"/>
      <c r="D103" s="60"/>
    </row>
    <row r="104" spans="1:4" ht="12.75">
      <c r="A104" s="60"/>
      <c r="B104" s="60"/>
      <c r="C104" s="60"/>
      <c r="D104" s="60"/>
    </row>
    <row r="105" spans="1:4" ht="12.75">
      <c r="A105" s="60"/>
      <c r="B105" s="60"/>
      <c r="C105" s="60"/>
      <c r="D105" s="60"/>
    </row>
    <row r="106" spans="1:4" ht="12.75">
      <c r="A106" s="60"/>
      <c r="B106" s="60"/>
      <c r="C106" s="60"/>
      <c r="D106" s="60"/>
    </row>
    <row r="107" spans="1:4" ht="12.75">
      <c r="A107" s="60"/>
      <c r="B107" s="60"/>
      <c r="C107" s="60"/>
      <c r="D107" s="60"/>
    </row>
  </sheetData>
  <printOptions/>
  <pageMargins left="0.75" right="0.27" top="1" bottom="1" header="0.5" footer="0.5"/>
  <pageSetup fitToHeight="1" fitToWidth="1" horizontalDpi="300" verticalDpi="300" orientation="landscape" paperSize="9" scale="52" r:id="rId3"/>
  <headerFooter alignWithMargins="0">
    <oddHeader>&amp;R &amp;D  &amp;T</oddHeader>
  </headerFooter>
  <legacyDrawing r:id="rId2"/>
</worksheet>
</file>

<file path=xl/worksheets/sheet28.xml><?xml version="1.0" encoding="utf-8"?>
<worksheet xmlns="http://schemas.openxmlformats.org/spreadsheetml/2006/main" xmlns:r="http://schemas.openxmlformats.org/officeDocument/2006/relationships">
  <dimension ref="A1:E65"/>
  <sheetViews>
    <sheetView workbookViewId="0" topLeftCell="A1">
      <selection activeCell="B16" sqref="B16"/>
    </sheetView>
  </sheetViews>
  <sheetFormatPr defaultColWidth="9.140625" defaultRowHeight="12.75"/>
  <cols>
    <col min="1" max="1" width="58.57421875" style="0" customWidth="1"/>
    <col min="2" max="2" width="15.7109375" style="0" customWidth="1"/>
  </cols>
  <sheetData>
    <row r="1" ht="12.75">
      <c r="A1" s="379" t="s">
        <v>1258</v>
      </c>
    </row>
    <row r="2" ht="12.75">
      <c r="A2" s="388" t="s">
        <v>1395</v>
      </c>
    </row>
    <row r="3" spans="1:2" ht="12.75">
      <c r="A3" s="388"/>
      <c r="B3" s="1011" t="s">
        <v>317</v>
      </c>
    </row>
    <row r="4" spans="2:5" ht="12.75">
      <c r="B4" s="1013"/>
      <c r="C4" s="1013"/>
      <c r="D4" s="1013"/>
      <c r="E4" s="1013"/>
    </row>
    <row r="5" spans="1:5" ht="12.75">
      <c r="A5" t="s">
        <v>1396</v>
      </c>
      <c r="B5" s="1013">
        <f>-+je!K23</f>
        <v>-386053</v>
      </c>
      <c r="C5" s="1013"/>
      <c r="D5" s="1013"/>
      <c r="E5" s="1013"/>
    </row>
    <row r="6" spans="1:5" ht="12.75">
      <c r="A6" t="s">
        <v>1398</v>
      </c>
      <c r="B6" s="1013">
        <f>-+je!K40</f>
        <v>965133</v>
      </c>
      <c r="C6" s="1013"/>
      <c r="D6" s="1013"/>
      <c r="E6" s="1013"/>
    </row>
    <row r="7" spans="1:5" ht="12.75">
      <c r="A7" t="s">
        <v>1397</v>
      </c>
      <c r="B7" s="1013">
        <f>-+je!K127</f>
        <v>1879786</v>
      </c>
      <c r="C7" s="1013"/>
      <c r="D7" s="1013"/>
      <c r="E7" s="1013"/>
    </row>
    <row r="8" spans="1:5" ht="12.75">
      <c r="A8" t="s">
        <v>1399</v>
      </c>
      <c r="B8" s="1013">
        <f>-+je!K130</f>
        <v>-374406</v>
      </c>
      <c r="C8" s="1013"/>
      <c r="D8" s="1013"/>
      <c r="E8" s="1013"/>
    </row>
    <row r="9" spans="2:5" ht="13.5" thickBot="1">
      <c r="B9" s="1017">
        <f>SUM(B5:B8)</f>
        <v>2084460</v>
      </c>
      <c r="C9" s="1013"/>
      <c r="D9" s="1013"/>
      <c r="E9" s="1013"/>
    </row>
    <row r="10" spans="2:5" ht="13.5" thickTop="1">
      <c r="B10" s="1013"/>
      <c r="C10" s="1013"/>
      <c r="D10" s="1013"/>
      <c r="E10" s="1013"/>
    </row>
    <row r="11" spans="2:5" ht="12.75">
      <c r="B11" s="1013"/>
      <c r="C11" s="1013"/>
      <c r="D11" s="1013"/>
      <c r="E11" s="1013"/>
    </row>
    <row r="12" spans="1:5" ht="13.5" thickBot="1">
      <c r="A12" t="s">
        <v>587</v>
      </c>
      <c r="B12" s="1057">
        <f>+'B. Sheet'!Z78*1000</f>
        <v>2084460</v>
      </c>
      <c r="C12" s="1013"/>
      <c r="D12" s="1013"/>
      <c r="E12" s="1013"/>
    </row>
    <row r="13" spans="2:5" ht="13.5" thickTop="1">
      <c r="B13" s="1013"/>
      <c r="C13" s="1013"/>
      <c r="D13" s="1013"/>
      <c r="E13" s="1013"/>
    </row>
    <row r="14" spans="2:5" ht="12.75">
      <c r="B14" s="1013"/>
      <c r="C14" s="1013"/>
      <c r="D14" s="1013"/>
      <c r="E14" s="1013"/>
    </row>
    <row r="15" spans="2:5" ht="12.75">
      <c r="B15" s="1013">
        <f>+B9-B12</f>
        <v>0</v>
      </c>
      <c r="C15" s="1013"/>
      <c r="D15" s="1013"/>
      <c r="E15" s="1013"/>
    </row>
    <row r="16" spans="2:5" ht="12.75">
      <c r="B16" s="1013"/>
      <c r="C16" s="1013"/>
      <c r="D16" s="1013"/>
      <c r="E16" s="1013"/>
    </row>
    <row r="17" spans="2:5" ht="12.75">
      <c r="B17" s="1013"/>
      <c r="C17" s="1013"/>
      <c r="D17" s="1013"/>
      <c r="E17" s="1013"/>
    </row>
    <row r="18" spans="2:5" ht="12.75">
      <c r="B18" s="1013"/>
      <c r="C18" s="1013"/>
      <c r="D18" s="1013"/>
      <c r="E18" s="1013"/>
    </row>
    <row r="19" spans="2:5" ht="12.75">
      <c r="B19" s="1013"/>
      <c r="C19" s="1013"/>
      <c r="D19" s="1013"/>
      <c r="E19" s="1013"/>
    </row>
    <row r="20" spans="2:5" ht="12.75">
      <c r="B20" s="1013"/>
      <c r="C20" s="1013"/>
      <c r="D20" s="1013"/>
      <c r="E20" s="1013"/>
    </row>
    <row r="21" spans="2:5" ht="12.75">
      <c r="B21" s="1013"/>
      <c r="C21" s="1013"/>
      <c r="D21" s="1013"/>
      <c r="E21" s="1013"/>
    </row>
    <row r="22" spans="2:5" ht="12.75">
      <c r="B22" s="1013"/>
      <c r="C22" s="1013"/>
      <c r="D22" s="1013"/>
      <c r="E22" s="1013"/>
    </row>
    <row r="23" spans="2:5" ht="12.75">
      <c r="B23" s="1013"/>
      <c r="C23" s="1013"/>
      <c r="D23" s="1013"/>
      <c r="E23" s="1013"/>
    </row>
    <row r="24" spans="2:5" ht="12.75">
      <c r="B24" s="1013"/>
      <c r="C24" s="1013"/>
      <c r="D24" s="1013"/>
      <c r="E24" s="1013"/>
    </row>
    <row r="25" spans="2:5" ht="12.75">
      <c r="B25" s="1013"/>
      <c r="C25" s="1013"/>
      <c r="D25" s="1013"/>
      <c r="E25" s="1013"/>
    </row>
    <row r="26" spans="2:5" ht="12.75">
      <c r="B26" s="1013"/>
      <c r="C26" s="1013"/>
      <c r="D26" s="1013"/>
      <c r="E26" s="1013"/>
    </row>
    <row r="27" spans="2:5" ht="12.75">
      <c r="B27" s="1013"/>
      <c r="C27" s="1013"/>
      <c r="D27" s="1013"/>
      <c r="E27" s="1013"/>
    </row>
    <row r="28" spans="2:5" ht="12.75">
      <c r="B28" s="1013"/>
      <c r="C28" s="1013"/>
      <c r="D28" s="1013"/>
      <c r="E28" s="1013"/>
    </row>
    <row r="29" spans="2:5" ht="12.75">
      <c r="B29" s="1013"/>
      <c r="C29" s="1013"/>
      <c r="D29" s="1013"/>
      <c r="E29" s="1013"/>
    </row>
    <row r="30" spans="2:5" ht="12.75">
      <c r="B30" s="1013"/>
      <c r="C30" s="1013"/>
      <c r="D30" s="1013"/>
      <c r="E30" s="1013"/>
    </row>
    <row r="31" spans="2:5" ht="12.75">
      <c r="B31" s="1013"/>
      <c r="C31" s="1013"/>
      <c r="D31" s="1013"/>
      <c r="E31" s="1013"/>
    </row>
    <row r="32" spans="2:5" ht="12.75">
      <c r="B32" s="1013"/>
      <c r="C32" s="1013"/>
      <c r="D32" s="1013"/>
      <c r="E32" s="1013"/>
    </row>
    <row r="33" spans="2:5" ht="12.75">
      <c r="B33" s="1013"/>
      <c r="C33" s="1013"/>
      <c r="D33" s="1013"/>
      <c r="E33" s="1013"/>
    </row>
    <row r="34" spans="2:5" ht="12.75">
      <c r="B34" s="1013"/>
      <c r="C34" s="1013"/>
      <c r="D34" s="1013"/>
      <c r="E34" s="1013"/>
    </row>
    <row r="35" spans="2:5" ht="12.75">
      <c r="B35" s="1013"/>
      <c r="C35" s="1013"/>
      <c r="D35" s="1013"/>
      <c r="E35" s="1013"/>
    </row>
    <row r="36" spans="2:5" ht="12.75">
      <c r="B36" s="1013"/>
      <c r="C36" s="1013"/>
      <c r="D36" s="1013"/>
      <c r="E36" s="1013"/>
    </row>
    <row r="37" spans="2:5" ht="12.75">
      <c r="B37" s="1013"/>
      <c r="C37" s="1013"/>
      <c r="D37" s="1013"/>
      <c r="E37" s="1013"/>
    </row>
    <row r="38" spans="2:5" ht="12.75">
      <c r="B38" s="1013"/>
      <c r="C38" s="1013"/>
      <c r="D38" s="1013"/>
      <c r="E38" s="1013"/>
    </row>
    <row r="39" spans="2:5" ht="12.75">
      <c r="B39" s="1013"/>
      <c r="C39" s="1013"/>
      <c r="D39" s="1013"/>
      <c r="E39" s="1013"/>
    </row>
    <row r="40" spans="2:5" ht="12.75">
      <c r="B40" s="1013"/>
      <c r="C40" s="1013"/>
      <c r="D40" s="1013"/>
      <c r="E40" s="1013"/>
    </row>
    <row r="41" spans="2:5" ht="12.75">
      <c r="B41" s="1013"/>
      <c r="C41" s="1013"/>
      <c r="D41" s="1013"/>
      <c r="E41" s="1013"/>
    </row>
    <row r="42" spans="2:5" ht="12.75">
      <c r="B42" s="1013"/>
      <c r="C42" s="1013"/>
      <c r="D42" s="1013"/>
      <c r="E42" s="1013"/>
    </row>
    <row r="43" spans="2:5" ht="12.75">
      <c r="B43" s="1013"/>
      <c r="C43" s="1013"/>
      <c r="D43" s="1013"/>
      <c r="E43" s="1013"/>
    </row>
    <row r="44" spans="2:5" ht="12.75">
      <c r="B44" s="1013"/>
      <c r="C44" s="1013"/>
      <c r="D44" s="1013"/>
      <c r="E44" s="1013"/>
    </row>
    <row r="45" spans="2:5" ht="12.75">
      <c r="B45" s="1013"/>
      <c r="C45" s="1013"/>
      <c r="D45" s="1013"/>
      <c r="E45" s="1013"/>
    </row>
    <row r="46" spans="2:5" ht="12.75">
      <c r="B46" s="1013"/>
      <c r="C46" s="1013"/>
      <c r="D46" s="1013"/>
      <c r="E46" s="1013"/>
    </row>
    <row r="47" spans="2:5" ht="12.75">
      <c r="B47" s="1013"/>
      <c r="C47" s="1013"/>
      <c r="D47" s="1013"/>
      <c r="E47" s="1013"/>
    </row>
    <row r="48" spans="2:5" ht="12.75">
      <c r="B48" s="1013"/>
      <c r="C48" s="1013"/>
      <c r="D48" s="1013"/>
      <c r="E48" s="1013"/>
    </row>
    <row r="49" spans="2:5" ht="12.75">
      <c r="B49" s="1013"/>
      <c r="C49" s="1013"/>
      <c r="D49" s="1013"/>
      <c r="E49" s="1013"/>
    </row>
    <row r="50" spans="2:5" ht="12.75">
      <c r="B50" s="1013"/>
      <c r="C50" s="1013"/>
      <c r="D50" s="1013"/>
      <c r="E50" s="1013"/>
    </row>
    <row r="51" spans="2:5" ht="12.75">
      <c r="B51" s="1013"/>
      <c r="C51" s="1013"/>
      <c r="D51" s="1013"/>
      <c r="E51" s="1013"/>
    </row>
    <row r="52" spans="2:5" ht="12.75">
      <c r="B52" s="1013"/>
      <c r="C52" s="1013"/>
      <c r="D52" s="1013"/>
      <c r="E52" s="1013"/>
    </row>
    <row r="53" spans="2:5" ht="12.75">
      <c r="B53" s="1013"/>
      <c r="C53" s="1013"/>
      <c r="D53" s="1013"/>
      <c r="E53" s="1013"/>
    </row>
    <row r="54" spans="2:5" ht="12.75">
      <c r="B54" s="1013"/>
      <c r="C54" s="1013"/>
      <c r="D54" s="1013"/>
      <c r="E54" s="1013"/>
    </row>
    <row r="55" spans="2:5" ht="12.75">
      <c r="B55" s="1013"/>
      <c r="C55" s="1013"/>
      <c r="D55" s="1013"/>
      <c r="E55" s="1013"/>
    </row>
    <row r="56" spans="2:5" ht="12.75">
      <c r="B56" s="1013"/>
      <c r="C56" s="1013"/>
      <c r="D56" s="1013"/>
      <c r="E56" s="1013"/>
    </row>
    <row r="57" spans="2:5" ht="12.75">
      <c r="B57" s="1013"/>
      <c r="C57" s="1013"/>
      <c r="D57" s="1013"/>
      <c r="E57" s="1013"/>
    </row>
    <row r="58" spans="2:5" ht="12.75">
      <c r="B58" s="1013"/>
      <c r="C58" s="1013"/>
      <c r="D58" s="1013"/>
      <c r="E58" s="1013"/>
    </row>
    <row r="59" spans="2:5" ht="12.75">
      <c r="B59" s="1013"/>
      <c r="C59" s="1013"/>
      <c r="D59" s="1013"/>
      <c r="E59" s="1013"/>
    </row>
    <row r="60" spans="2:5" ht="12.75">
      <c r="B60" s="1013"/>
      <c r="C60" s="1013"/>
      <c r="D60" s="1013"/>
      <c r="E60" s="1013"/>
    </row>
    <row r="61" spans="2:5" ht="12.75">
      <c r="B61" s="1013"/>
      <c r="C61" s="1013"/>
      <c r="D61" s="1013"/>
      <c r="E61" s="1013"/>
    </row>
    <row r="62" spans="2:5" ht="12.75">
      <c r="B62" s="1013"/>
      <c r="C62" s="1013"/>
      <c r="D62" s="1013"/>
      <c r="E62" s="1013"/>
    </row>
    <row r="63" spans="2:5" ht="12.75">
      <c r="B63" s="1013"/>
      <c r="C63" s="1013"/>
      <c r="D63" s="1013"/>
      <c r="E63" s="1013"/>
    </row>
    <row r="64" spans="2:5" ht="12.75">
      <c r="B64" s="1013"/>
      <c r="C64" s="1013"/>
      <c r="D64" s="1013"/>
      <c r="E64" s="1013"/>
    </row>
    <row r="65" spans="2:5" ht="12.75">
      <c r="B65" s="1013"/>
      <c r="C65" s="1013"/>
      <c r="D65" s="1013"/>
      <c r="E65" s="1013"/>
    </row>
  </sheetData>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G62"/>
  <sheetViews>
    <sheetView zoomScale="60" zoomScaleNormal="60" workbookViewId="0" topLeftCell="A4">
      <selection activeCell="J4" sqref="J4"/>
    </sheetView>
  </sheetViews>
  <sheetFormatPr defaultColWidth="9.140625" defaultRowHeight="12.75"/>
  <cols>
    <col min="1" max="1" width="55.7109375" style="0" customWidth="1"/>
    <col min="2" max="2" width="17.57421875" style="0" customWidth="1"/>
    <col min="3" max="3" width="2.00390625" style="0" customWidth="1"/>
    <col min="4" max="4" width="16.57421875" style="0" customWidth="1"/>
    <col min="5" max="5" width="1.1484375" style="0" customWidth="1"/>
    <col min="6" max="6" width="16.00390625" style="0" customWidth="1"/>
  </cols>
  <sheetData>
    <row r="1" spans="1:3" ht="12.75">
      <c r="A1" s="388" t="s">
        <v>1258</v>
      </c>
      <c r="B1" s="439"/>
      <c r="C1" s="439"/>
    </row>
    <row r="2" spans="1:3" ht="12.75">
      <c r="A2" s="388" t="s">
        <v>1407</v>
      </c>
      <c r="B2" s="439"/>
      <c r="C2" s="439"/>
    </row>
    <row r="3" ht="12.75">
      <c r="B3" s="1011" t="s">
        <v>521</v>
      </c>
    </row>
    <row r="4" ht="12.75">
      <c r="B4" s="1026"/>
    </row>
    <row r="5" spans="1:2" ht="12.75">
      <c r="A5" t="s">
        <v>1631</v>
      </c>
      <c r="B5" s="1027">
        <f>+'B. Sheet'!K11</f>
        <v>0</v>
      </c>
    </row>
    <row r="6" spans="1:2" ht="12.75">
      <c r="A6" t="s">
        <v>1408</v>
      </c>
      <c r="B6" s="1027">
        <f>+'B. Sheet'!Q11</f>
        <v>2844.8</v>
      </c>
    </row>
    <row r="7" ht="13.5" thickBot="1">
      <c r="B7" s="1028">
        <f>SUM(B5:B6)</f>
        <v>2844.8</v>
      </c>
    </row>
    <row r="8" ht="13.5" thickTop="1">
      <c r="B8" s="1027"/>
    </row>
    <row r="9" ht="12.75">
      <c r="B9" s="1027"/>
    </row>
    <row r="10" spans="1:2" ht="13.5" thickBot="1">
      <c r="A10" t="s">
        <v>588</v>
      </c>
      <c r="B10" s="1058">
        <f>+'B. Sheet'!Z11</f>
        <v>2844.8</v>
      </c>
    </row>
    <row r="11" ht="13.5" thickTop="1">
      <c r="B11" s="1027"/>
    </row>
    <row r="12" ht="12.75">
      <c r="B12" s="1027">
        <f>+B7-B10</f>
        <v>0</v>
      </c>
    </row>
    <row r="13" ht="12.75">
      <c r="B13" s="1027"/>
    </row>
    <row r="14" ht="12.75">
      <c r="B14" s="1027"/>
    </row>
    <row r="15" spans="1:2" ht="12.75">
      <c r="A15" s="1010" t="s">
        <v>1618</v>
      </c>
      <c r="B15" s="1027"/>
    </row>
    <row r="16" spans="1:6" ht="12.75">
      <c r="A16" s="1010"/>
      <c r="B16" s="1027"/>
      <c r="D16" s="1011" t="s">
        <v>1632</v>
      </c>
      <c r="F16" s="1011" t="s">
        <v>1633</v>
      </c>
    </row>
    <row r="17" spans="1:6" ht="12.75">
      <c r="A17" s="1010"/>
      <c r="B17" s="1026" t="s">
        <v>317</v>
      </c>
      <c r="D17" s="1011" t="s">
        <v>317</v>
      </c>
      <c r="F17" s="1011" t="s">
        <v>317</v>
      </c>
    </row>
    <row r="18" spans="1:2" ht="12.75">
      <c r="A18" s="1010" t="s">
        <v>1629</v>
      </c>
      <c r="B18" s="1013"/>
    </row>
    <row r="19" spans="1:2" ht="12.75">
      <c r="A19" s="1010"/>
      <c r="B19" s="1013"/>
    </row>
    <row r="20" spans="1:2" ht="12.75">
      <c r="A20" s="1067" t="s">
        <v>1619</v>
      </c>
      <c r="B20" s="1035">
        <v>5273410</v>
      </c>
    </row>
    <row r="21" spans="1:2" ht="12.75">
      <c r="A21" s="1068" t="s">
        <v>1620</v>
      </c>
      <c r="B21" s="1034">
        <v>-282000</v>
      </c>
    </row>
    <row r="22" spans="1:2" ht="12.75">
      <c r="A22" s="1032"/>
      <c r="B22" s="1035">
        <f>SUM(B20:B21)</f>
        <v>4991410</v>
      </c>
    </row>
    <row r="23" spans="1:2" ht="12.75">
      <c r="A23" s="1032" t="s">
        <v>1621</v>
      </c>
      <c r="B23" s="1034">
        <v>-705000</v>
      </c>
    </row>
    <row r="24" spans="1:2" ht="13.5" thickBot="1">
      <c r="A24" s="1032" t="s">
        <v>1622</v>
      </c>
      <c r="B24" s="1037">
        <f>SUM(B22:B23)</f>
        <v>4286410</v>
      </c>
    </row>
    <row r="25" spans="1:2" ht="13.5" thickTop="1">
      <c r="A25" s="1032"/>
      <c r="B25" s="1034"/>
    </row>
    <row r="26" spans="1:2" ht="12.75">
      <c r="A26" s="1032" t="s">
        <v>1623</v>
      </c>
      <c r="B26" s="1071">
        <v>5000000</v>
      </c>
    </row>
    <row r="27" spans="1:2" ht="12.75">
      <c r="A27" s="1032"/>
      <c r="B27" s="1034"/>
    </row>
    <row r="28" spans="1:2" ht="12.75">
      <c r="A28" s="1032" t="s">
        <v>1624</v>
      </c>
      <c r="B28" s="1034">
        <f>+B24/B26</f>
        <v>0.857282</v>
      </c>
    </row>
    <row r="29" spans="1:2" ht="12.75">
      <c r="A29" s="1053"/>
      <c r="B29" s="1039"/>
    </row>
    <row r="30" ht="12.75">
      <c r="B30" s="1013"/>
    </row>
    <row r="31" ht="12.75">
      <c r="B31" s="1013"/>
    </row>
    <row r="32" spans="1:2" ht="12.75">
      <c r="A32" t="s">
        <v>1625</v>
      </c>
      <c r="B32" s="1069">
        <v>4900000</v>
      </c>
    </row>
    <row r="33" ht="12.75">
      <c r="B33" s="1013"/>
    </row>
    <row r="34" spans="1:4" ht="13.5" thickBot="1">
      <c r="A34" t="s">
        <v>1626</v>
      </c>
      <c r="B34" s="1057">
        <f>+B32*B28</f>
        <v>4200681.8</v>
      </c>
      <c r="D34" s="1013">
        <f>+B34</f>
        <v>4200681.8</v>
      </c>
    </row>
    <row r="35" ht="13.5" thickTop="1">
      <c r="B35" s="1013"/>
    </row>
    <row r="36" ht="12.75">
      <c r="B36" s="1013"/>
    </row>
    <row r="37" spans="1:2" ht="12.75">
      <c r="A37" t="s">
        <v>1627</v>
      </c>
      <c r="B37" s="1013">
        <v>0.71</v>
      </c>
    </row>
    <row r="38" ht="12.75">
      <c r="B38" s="1013"/>
    </row>
    <row r="39" spans="1:6" ht="13.5" thickBot="1">
      <c r="A39" t="s">
        <v>1628</v>
      </c>
      <c r="B39" s="1057">
        <f>+B32*B37</f>
        <v>3479000</v>
      </c>
      <c r="F39" s="1013">
        <f>+B39</f>
        <v>3479000</v>
      </c>
    </row>
    <row r="40" ht="13.5" thickTop="1">
      <c r="B40" s="1013"/>
    </row>
    <row r="41" ht="12.75">
      <c r="B41" s="1013"/>
    </row>
    <row r="42" spans="1:5" ht="12.75">
      <c r="A42" s="1070"/>
      <c r="B42" s="1014"/>
      <c r="C42" s="1070"/>
      <c r="D42" s="1070"/>
      <c r="E42" s="1070"/>
    </row>
    <row r="43" spans="1:2" ht="12.75">
      <c r="A43" s="1010" t="s">
        <v>1630</v>
      </c>
      <c r="B43" s="1013"/>
    </row>
    <row r="44" ht="12.75">
      <c r="B44" s="1013"/>
    </row>
    <row r="45" spans="1:4" ht="12.75">
      <c r="A45" s="1067" t="s">
        <v>1619</v>
      </c>
      <c r="B45" s="1035">
        <v>987000</v>
      </c>
      <c r="D45" s="1013"/>
    </row>
    <row r="46" spans="1:2" ht="12.75">
      <c r="A46" s="1032"/>
      <c r="B46" s="1034"/>
    </row>
    <row r="47" spans="1:2" ht="12.75">
      <c r="A47" s="1032" t="s">
        <v>1623</v>
      </c>
      <c r="B47" s="1071">
        <v>1974000</v>
      </c>
    </row>
    <row r="48" spans="1:2" ht="12.75">
      <c r="A48" s="1032"/>
      <c r="B48" s="1034"/>
    </row>
    <row r="49" spans="1:2" ht="12.75">
      <c r="A49" s="1032" t="s">
        <v>1624</v>
      </c>
      <c r="B49" s="1034">
        <f>+B45/B47</f>
        <v>0.5</v>
      </c>
    </row>
    <row r="50" spans="1:2" ht="12.75">
      <c r="A50" s="1053"/>
      <c r="B50" s="1039"/>
    </row>
    <row r="51" ht="12.75">
      <c r="B51" s="1013"/>
    </row>
    <row r="52" ht="12.75">
      <c r="B52" s="1013"/>
    </row>
    <row r="53" spans="1:2" ht="12.75">
      <c r="A53" t="s">
        <v>1625</v>
      </c>
      <c r="B53" s="1069">
        <v>1974000</v>
      </c>
    </row>
    <row r="54" ht="12.75">
      <c r="B54" s="1013"/>
    </row>
    <row r="55" spans="1:4" ht="13.5" thickBot="1">
      <c r="A55" t="s">
        <v>1626</v>
      </c>
      <c r="B55" s="1057">
        <f>+B53*B49</f>
        <v>987000</v>
      </c>
      <c r="D55" s="1013">
        <f>+B55</f>
        <v>987000</v>
      </c>
    </row>
    <row r="56" ht="13.5" thickTop="1">
      <c r="B56" s="1013"/>
    </row>
    <row r="57" ht="12.75">
      <c r="B57" s="1013"/>
    </row>
    <row r="58" spans="1:2" ht="12.75">
      <c r="A58" t="s">
        <v>1627</v>
      </c>
      <c r="B58" s="1013">
        <v>0.5</v>
      </c>
    </row>
    <row r="59" ht="12.75">
      <c r="B59" s="1013"/>
    </row>
    <row r="60" spans="1:6" ht="13.5" thickBot="1">
      <c r="A60" t="s">
        <v>1628</v>
      </c>
      <c r="B60" s="1057">
        <f>+B53*B58</f>
        <v>987000</v>
      </c>
      <c r="F60" s="1013">
        <f>+B60</f>
        <v>987000</v>
      </c>
    </row>
    <row r="61" ht="13.5" thickTop="1"/>
    <row r="62" spans="4:7" ht="13.5" thickBot="1">
      <c r="D62" s="1017">
        <f>SUM(D19:D61)</f>
        <v>5187681.8</v>
      </c>
      <c r="E62" s="1013"/>
      <c r="F62" s="1017">
        <f>SUM(F18:F61)</f>
        <v>4466000</v>
      </c>
      <c r="G62" s="1013"/>
    </row>
    <row r="63" ht="13.5" thickTop="1"/>
  </sheetData>
  <printOptions/>
  <pageMargins left="0.75" right="0.75" top="1" bottom="1" header="0.5" footer="0.5"/>
  <pageSetup horizontalDpi="120" verticalDpi="120" orientation="portrait" scale="71" r:id="rId1"/>
</worksheet>
</file>

<file path=xl/worksheets/sheet3.xml><?xml version="1.0" encoding="utf-8"?>
<worksheet xmlns="http://schemas.openxmlformats.org/spreadsheetml/2006/main" xmlns:r="http://schemas.openxmlformats.org/officeDocument/2006/relationships">
  <sheetPr>
    <pageSetUpPr fitToPage="1"/>
  </sheetPr>
  <dimension ref="B1:N53"/>
  <sheetViews>
    <sheetView workbookViewId="0" topLeftCell="A1">
      <selection activeCell="A50" sqref="A50"/>
    </sheetView>
  </sheetViews>
  <sheetFormatPr defaultColWidth="9.140625" defaultRowHeight="12.75"/>
  <cols>
    <col min="1" max="1" width="1.57421875" style="445" customWidth="1"/>
    <col min="2" max="2" width="36.8515625" style="445" customWidth="1"/>
    <col min="3" max="11" width="12.00390625" style="445" customWidth="1"/>
    <col min="12" max="12" width="1.7109375" style="445" customWidth="1"/>
    <col min="13" max="13" width="8.8515625" style="445" hidden="1" customWidth="1"/>
    <col min="14" max="14" width="11.00390625" style="445" customWidth="1"/>
    <col min="15" max="16384" width="8.8515625" style="445" customWidth="1"/>
  </cols>
  <sheetData>
    <row r="1" ht="18.75">
      <c r="B1" s="621" t="s">
        <v>1617</v>
      </c>
    </row>
    <row r="3" spans="2:11" ht="12.75">
      <c r="B3" s="622" t="s">
        <v>1475</v>
      </c>
      <c r="K3" s="623"/>
    </row>
    <row r="4" spans="2:11" ht="12.75">
      <c r="B4" s="622" t="s">
        <v>123</v>
      </c>
      <c r="K4" s="623"/>
    </row>
    <row r="5" ht="12.75">
      <c r="K5" s="623"/>
    </row>
    <row r="6" ht="12.75">
      <c r="K6" s="623"/>
    </row>
    <row r="7" spans="3:11" ht="12.75">
      <c r="C7" s="639"/>
      <c r="E7" s="1121" t="s">
        <v>217</v>
      </c>
      <c r="F7" s="1121"/>
      <c r="G7" s="1121"/>
      <c r="I7" s="638"/>
      <c r="K7" s="623"/>
    </row>
    <row r="8" ht="12.75">
      <c r="K8" s="623"/>
    </row>
    <row r="9" spans="4:11" ht="12.75">
      <c r="D9" s="639"/>
      <c r="E9" s="1121" t="s">
        <v>218</v>
      </c>
      <c r="F9" s="1121"/>
      <c r="G9" s="638"/>
      <c r="H9" s="636" t="s">
        <v>216</v>
      </c>
      <c r="K9" s="623"/>
    </row>
    <row r="10" spans="3:11" ht="24.75" customHeight="1">
      <c r="C10" s="624" t="s">
        <v>312</v>
      </c>
      <c r="D10" s="624" t="s">
        <v>610</v>
      </c>
      <c r="E10" s="624" t="s">
        <v>1294</v>
      </c>
      <c r="F10" s="624" t="s">
        <v>1247</v>
      </c>
      <c r="G10" s="624" t="s">
        <v>885</v>
      </c>
      <c r="H10" s="624" t="s">
        <v>215</v>
      </c>
      <c r="I10" s="625" t="s">
        <v>329</v>
      </c>
      <c r="J10" s="637" t="s">
        <v>213</v>
      </c>
      <c r="K10" s="624" t="s">
        <v>758</v>
      </c>
    </row>
    <row r="11" spans="3:11" ht="12.75">
      <c r="C11" s="625" t="s">
        <v>1357</v>
      </c>
      <c r="D11" s="625" t="s">
        <v>1357</v>
      </c>
      <c r="E11" s="625" t="s">
        <v>1357</v>
      </c>
      <c r="F11" s="625" t="s">
        <v>1357</v>
      </c>
      <c r="G11" s="625" t="s">
        <v>1357</v>
      </c>
      <c r="H11" s="625" t="s">
        <v>1357</v>
      </c>
      <c r="I11" s="625" t="s">
        <v>1357</v>
      </c>
      <c r="J11" s="625" t="s">
        <v>1357</v>
      </c>
      <c r="K11" s="625" t="s">
        <v>1357</v>
      </c>
    </row>
    <row r="12" spans="3:11" ht="12.75">
      <c r="C12" s="626"/>
      <c r="D12" s="626"/>
      <c r="E12" s="626"/>
      <c r="F12" s="626"/>
      <c r="G12" s="626"/>
      <c r="H12" s="626"/>
      <c r="I12" s="626"/>
      <c r="J12" s="626"/>
      <c r="K12" s="626"/>
    </row>
    <row r="13" spans="3:11" ht="12.75">
      <c r="C13" s="623"/>
      <c r="D13" s="623"/>
      <c r="E13" s="623"/>
      <c r="F13" s="623"/>
      <c r="G13" s="623"/>
      <c r="H13" s="623"/>
      <c r="I13" s="623"/>
      <c r="K13" s="623"/>
    </row>
    <row r="14" spans="2:11" ht="12.75">
      <c r="B14" s="622" t="str">
        <f>'[8]equity'!B10</f>
        <v>12 months ended 31 January 2006</v>
      </c>
      <c r="C14" s="623"/>
      <c r="D14" s="623"/>
      <c r="E14" s="623"/>
      <c r="F14" s="623"/>
      <c r="G14" s="623"/>
      <c r="H14" s="623"/>
      <c r="I14" s="623"/>
      <c r="K14" s="623"/>
    </row>
    <row r="15" spans="3:11" ht="12.75">
      <c r="C15" s="623"/>
      <c r="D15" s="623"/>
      <c r="E15" s="623"/>
      <c r="F15" s="623"/>
      <c r="G15" s="623"/>
      <c r="H15" s="623"/>
      <c r="I15" s="623"/>
      <c r="K15" s="623"/>
    </row>
    <row r="16" spans="2:11" ht="12.75">
      <c r="B16" s="634" t="str">
        <f>'[8]equity'!B12</f>
        <v>Balance at 1 February 2005</v>
      </c>
      <c r="C16" s="628">
        <f>'[8]det equity'!D13</f>
        <v>53020</v>
      </c>
      <c r="D16" s="628">
        <f>'[8]det equity'!E13</f>
        <v>3704</v>
      </c>
      <c r="E16" s="628">
        <f>'[8]det equity'!F13</f>
        <v>377</v>
      </c>
      <c r="F16" s="628">
        <f>'[8]det equity'!G13</f>
        <v>464</v>
      </c>
      <c r="G16" s="628">
        <f>'[8]det equity'!H13</f>
        <v>515</v>
      </c>
      <c r="H16" s="628">
        <f>'[8]det equity'!I13+2</f>
        <v>-995</v>
      </c>
      <c r="I16" s="629">
        <f>SUM(C16:H16)</f>
        <v>57085</v>
      </c>
      <c r="J16" s="631">
        <v>45171</v>
      </c>
      <c r="K16" s="629">
        <f>SUM(I16:J16)</f>
        <v>102256</v>
      </c>
    </row>
    <row r="17" spans="3:11" ht="12.75">
      <c r="C17" s="628"/>
      <c r="D17" s="628"/>
      <c r="E17" s="628"/>
      <c r="F17" s="628"/>
      <c r="G17" s="628"/>
      <c r="H17" s="628"/>
      <c r="I17" s="629"/>
      <c r="K17" s="629"/>
    </row>
    <row r="18" spans="2:11" ht="12.75">
      <c r="B18" s="445" t="s">
        <v>1344</v>
      </c>
      <c r="C18" s="175">
        <v>55.9</v>
      </c>
      <c r="D18" s="175">
        <v>11</v>
      </c>
      <c r="E18" s="175">
        <f>+'[8]equity'!E14</f>
        <v>0</v>
      </c>
      <c r="F18" s="175">
        <f>+'[8]equity'!F14</f>
        <v>0</v>
      </c>
      <c r="G18" s="175">
        <f>+'[8]equity'!G15</f>
        <v>0</v>
      </c>
      <c r="H18" s="629">
        <v>0</v>
      </c>
      <c r="I18" s="628">
        <f>SUM(C18:H18)</f>
        <v>66.9</v>
      </c>
      <c r="J18" s="629">
        <v>0</v>
      </c>
      <c r="K18" s="629">
        <f>SUM(I18:J18)</f>
        <v>66.9</v>
      </c>
    </row>
    <row r="19" spans="2:11" ht="12.75">
      <c r="B19" s="2" t="s">
        <v>1373</v>
      </c>
      <c r="C19" s="1020">
        <f>+'[8]equity'!C16</f>
        <v>0</v>
      </c>
      <c r="D19" s="629">
        <f>+'[8]equity'!D16</f>
        <v>0</v>
      </c>
      <c r="E19" s="629">
        <f>+'[8]equity'!E16</f>
        <v>0</v>
      </c>
      <c r="F19" s="629">
        <f>+'[8]equity'!F16</f>
        <v>0</v>
      </c>
      <c r="G19" s="629">
        <f>+'[8]equity'!G16</f>
        <v>108</v>
      </c>
      <c r="H19" s="629">
        <v>0</v>
      </c>
      <c r="I19" s="628">
        <f>SUM(C19:H19)</f>
        <v>108</v>
      </c>
      <c r="J19" s="629">
        <v>0</v>
      </c>
      <c r="K19" s="629">
        <f>SUM(I19:J19)</f>
        <v>108</v>
      </c>
    </row>
    <row r="20" spans="2:11" ht="12.75">
      <c r="B20" s="2" t="s">
        <v>56</v>
      </c>
      <c r="C20" s="629">
        <f>+'[8]equity'!C15</f>
        <v>0</v>
      </c>
      <c r="D20" s="629">
        <f>+'[8]equity'!D15</f>
        <v>0</v>
      </c>
      <c r="E20" s="629">
        <f>+'[8]equity'!E15</f>
        <v>0</v>
      </c>
      <c r="F20" s="629">
        <f>+'[8]equity'!F15</f>
        <v>119</v>
      </c>
      <c r="G20" s="629">
        <f>+'[8]equity'!G15</f>
        <v>0</v>
      </c>
      <c r="H20" s="629">
        <f>+'[8]equity'!H15</f>
        <v>-119</v>
      </c>
      <c r="I20" s="628">
        <f>SUM(C20:H20)</f>
        <v>0</v>
      </c>
      <c r="J20" s="629">
        <v>0</v>
      </c>
      <c r="K20" s="629">
        <f>SUM(I20:J20)</f>
        <v>0</v>
      </c>
    </row>
    <row r="21" spans="2:11" ht="12.75" hidden="1">
      <c r="B21" s="2" t="s">
        <v>27</v>
      </c>
      <c r="C21" s="629"/>
      <c r="D21" s="629"/>
      <c r="E21" s="1019"/>
      <c r="F21" s="629"/>
      <c r="G21" s="629"/>
      <c r="H21" s="629"/>
      <c r="I21" s="628">
        <f>SUM(C21:H21)</f>
        <v>0</v>
      </c>
      <c r="J21" s="868"/>
      <c r="K21" s="629"/>
    </row>
    <row r="22" spans="2:11" ht="12.75">
      <c r="B22" s="2" t="s">
        <v>1249</v>
      </c>
      <c r="C22" s="629">
        <f>+'[8]equity'!C17</f>
        <v>0</v>
      </c>
      <c r="D22" s="629">
        <f>+'[8]equity'!D17</f>
        <v>0</v>
      </c>
      <c r="E22" s="629">
        <f>+'[8]equity'!E17</f>
        <v>0</v>
      </c>
      <c r="F22" s="629">
        <f>+'[8]equity'!F17</f>
        <v>0</v>
      </c>
      <c r="G22" s="629">
        <f>+'[8]equity'!G17</f>
        <v>0</v>
      </c>
      <c r="H22" s="628">
        <f>+'[8]equity'!H17</f>
        <v>12176</v>
      </c>
      <c r="I22" s="628">
        <f>SUM(C22:H22)</f>
        <v>12176</v>
      </c>
      <c r="J22" s="867">
        <f>8627-1</f>
        <v>8626</v>
      </c>
      <c r="K22" s="629">
        <f>SUM(I22:J22)</f>
        <v>20802</v>
      </c>
    </row>
    <row r="23" spans="3:11" ht="12.75" hidden="1">
      <c r="C23" s="623"/>
      <c r="D23" s="623"/>
      <c r="E23" s="623"/>
      <c r="F23" s="623"/>
      <c r="G23" s="623"/>
      <c r="H23" s="623"/>
      <c r="I23" s="623"/>
      <c r="J23" s="868"/>
      <c r="K23" s="629"/>
    </row>
    <row r="24" spans="2:14" ht="14.25" thickBot="1">
      <c r="B24" s="634" t="str">
        <f>'[8]equity'!B19</f>
        <v>Balance at 31 January 2006</v>
      </c>
      <c r="C24" s="630">
        <f aca="true" t="shared" si="0" ref="C24:K24">SUM(C16:C23)</f>
        <v>53075.9</v>
      </c>
      <c r="D24" s="630">
        <f t="shared" si="0"/>
        <v>3715</v>
      </c>
      <c r="E24" s="630">
        <f t="shared" si="0"/>
        <v>377</v>
      </c>
      <c r="F24" s="630">
        <f t="shared" si="0"/>
        <v>583</v>
      </c>
      <c r="G24" s="630">
        <f t="shared" si="0"/>
        <v>623</v>
      </c>
      <c r="H24" s="630">
        <f t="shared" si="0"/>
        <v>11062</v>
      </c>
      <c r="I24" s="630">
        <f t="shared" si="0"/>
        <v>69435.9</v>
      </c>
      <c r="J24" s="630">
        <f t="shared" si="0"/>
        <v>53797</v>
      </c>
      <c r="K24" s="633">
        <f t="shared" si="0"/>
        <v>123232.9</v>
      </c>
      <c r="M24" s="640">
        <f>+'[8]FRS BS'!F38</f>
        <v>123233</v>
      </c>
      <c r="N24" s="644"/>
    </row>
    <row r="25" spans="3:13" ht="13.5" thickTop="1">
      <c r="C25" s="623"/>
      <c r="D25" s="623"/>
      <c r="E25" s="623"/>
      <c r="F25" s="623"/>
      <c r="G25" s="623"/>
      <c r="H25" s="623"/>
      <c r="I25" s="623"/>
      <c r="K25" s="623"/>
      <c r="M25" s="866">
        <f>+M24-K24</f>
        <v>0.10000000000582077</v>
      </c>
    </row>
    <row r="26" spans="2:11" ht="12.75">
      <c r="B26" s="622" t="str">
        <f>'[8]equity'!B21</f>
        <v>12 months ended 31 January 2007</v>
      </c>
      <c r="C26" s="623"/>
      <c r="D26" s="623"/>
      <c r="E26" s="623"/>
      <c r="F26" s="623"/>
      <c r="G26" s="623"/>
      <c r="H26" s="623"/>
      <c r="I26" s="623"/>
      <c r="K26" s="623"/>
    </row>
    <row r="27" spans="3:11" ht="12.75">
      <c r="C27" s="623"/>
      <c r="D27" s="623"/>
      <c r="E27" s="623"/>
      <c r="F27" s="623"/>
      <c r="G27" s="623"/>
      <c r="H27" s="623"/>
      <c r="I27" s="623"/>
      <c r="K27" s="623"/>
    </row>
    <row r="28" spans="2:11" ht="12.75">
      <c r="B28" s="634" t="str">
        <f>'[8]equity'!B23</f>
        <v>Balance at 1 February 2006</v>
      </c>
      <c r="C28" s="629">
        <f>'[8]det equity'!D25</f>
        <v>53076</v>
      </c>
      <c r="D28" s="629">
        <f>'[8]det equity'!E25</f>
        <v>3715</v>
      </c>
      <c r="E28" s="629">
        <f>+'[8]equity'!E23</f>
        <v>377</v>
      </c>
      <c r="F28" s="629">
        <f>+'[8]equity'!F23</f>
        <v>583</v>
      </c>
      <c r="G28" s="629">
        <v>623</v>
      </c>
      <c r="H28" s="629">
        <f>+'[8]equity'!H23+2</f>
        <v>11062.1</v>
      </c>
      <c r="I28" s="629">
        <f>SUM(C28:H28)</f>
        <v>69436.1</v>
      </c>
      <c r="J28" s="867">
        <v>53797</v>
      </c>
      <c r="K28" s="629">
        <f>SUM(I28:J28)</f>
        <v>123233.1</v>
      </c>
    </row>
    <row r="29" spans="3:11" ht="12.75">
      <c r="C29" s="629"/>
      <c r="D29" s="629"/>
      <c r="E29" s="629"/>
      <c r="F29" s="629"/>
      <c r="G29" s="629"/>
      <c r="H29" s="629"/>
      <c r="I29" s="629"/>
      <c r="J29" s="868"/>
      <c r="K29" s="629"/>
    </row>
    <row r="30" spans="2:11" ht="12.75">
      <c r="B30" s="445" t="s">
        <v>438</v>
      </c>
      <c r="C30" s="629">
        <f>+'[8]equity'!C26</f>
        <v>30</v>
      </c>
      <c r="D30" s="629"/>
      <c r="E30" s="629"/>
      <c r="F30" s="629"/>
      <c r="G30" s="629"/>
      <c r="H30" s="629"/>
      <c r="I30" s="629">
        <f>SUM(C30:H30)</f>
        <v>30</v>
      </c>
      <c r="J30" s="629">
        <v>0</v>
      </c>
      <c r="K30" s="629">
        <f>SUM(I30:J30)</f>
        <v>30</v>
      </c>
    </row>
    <row r="31" spans="2:11" ht="12.75">
      <c r="B31" s="445" t="str">
        <f>'[8]det equity'!A16</f>
        <v>Transfer from retained profit to capital reverse</v>
      </c>
      <c r="C31" s="629">
        <f>'[8]equity'!C25</f>
        <v>0</v>
      </c>
      <c r="D31" s="629">
        <f>'[8]equity'!D25</f>
        <v>0</v>
      </c>
      <c r="E31" s="629">
        <f>'[8]equity'!E25</f>
        <v>0</v>
      </c>
      <c r="F31" s="629">
        <f>'[8]equity'!F25</f>
        <v>509</v>
      </c>
      <c r="G31" s="629">
        <f>'[8]equity'!G25</f>
        <v>0</v>
      </c>
      <c r="H31" s="629">
        <f>'[8]equity'!H25</f>
        <v>-509</v>
      </c>
      <c r="I31" s="629">
        <f>SUM(C31:H31)</f>
        <v>0</v>
      </c>
      <c r="J31" s="629">
        <v>0</v>
      </c>
      <c r="K31" s="629">
        <f>SUM(I31:J31)</f>
        <v>0</v>
      </c>
    </row>
    <row r="32" spans="2:11" ht="12.75">
      <c r="B32" s="445" t="str">
        <f>'[8]det equity'!A18</f>
        <v>Currency translation differences</v>
      </c>
      <c r="C32" s="629">
        <f>'[8]equity'!C28</f>
        <v>0</v>
      </c>
      <c r="D32" s="629">
        <f>'[8]equity'!D28</f>
        <v>0</v>
      </c>
      <c r="E32" s="629">
        <f>'[8]equity'!E28</f>
        <v>0</v>
      </c>
      <c r="F32" s="629">
        <f>'[8]equity'!F28</f>
        <v>0</v>
      </c>
      <c r="G32" s="629">
        <v>1462</v>
      </c>
      <c r="H32" s="629">
        <f>'[8]equity'!H28</f>
        <v>0</v>
      </c>
      <c r="I32" s="629">
        <f>SUM(C32:H32)</f>
        <v>1462</v>
      </c>
      <c r="J32" s="629">
        <v>0</v>
      </c>
      <c r="K32" s="629">
        <f>SUM(I32:J32)</f>
        <v>1462</v>
      </c>
    </row>
    <row r="33" spans="2:11" ht="12.75">
      <c r="B33" s="445" t="s">
        <v>1249</v>
      </c>
      <c r="C33" s="629">
        <f>'[8]equity'!C29</f>
        <v>0</v>
      </c>
      <c r="D33" s="629">
        <f>'[8]equity'!D29</f>
        <v>0</v>
      </c>
      <c r="E33" s="629">
        <f>'[8]equity'!E29</f>
        <v>0</v>
      </c>
      <c r="F33" s="629">
        <f>'[8]equity'!F29</f>
        <v>0</v>
      </c>
      <c r="G33" s="629">
        <f>'[8]equity'!G29</f>
        <v>0</v>
      </c>
      <c r="H33" s="629">
        <f>+'[8]equity'!H29-2</f>
        <v>13224</v>
      </c>
      <c r="I33" s="629">
        <f>SUM(C33:H33)</f>
        <v>13224</v>
      </c>
      <c r="J33" s="867">
        <f>M36-I36-J28</f>
        <v>7966.899999999994</v>
      </c>
      <c r="K33" s="629">
        <f>SUM(I33:J33)</f>
        <v>21190.899999999994</v>
      </c>
    </row>
    <row r="34" spans="2:11" ht="12.75" hidden="1">
      <c r="B34" s="445" t="s">
        <v>1480</v>
      </c>
      <c r="C34" s="629"/>
      <c r="D34" s="629"/>
      <c r="E34" s="629">
        <f>+'[8]det equity'!F33</f>
        <v>0</v>
      </c>
      <c r="F34" s="629"/>
      <c r="G34" s="629"/>
      <c r="H34" s="629"/>
      <c r="I34" s="629">
        <f>SUM(C34:H34)</f>
        <v>0</v>
      </c>
      <c r="J34" s="868"/>
      <c r="K34" s="629">
        <f>SUM(I34:J34)</f>
        <v>0</v>
      </c>
    </row>
    <row r="35" spans="3:11" ht="12.75">
      <c r="C35" s="629"/>
      <c r="D35" s="629"/>
      <c r="E35" s="629"/>
      <c r="F35" s="629"/>
      <c r="G35" s="629"/>
      <c r="H35" s="629"/>
      <c r="I35" s="629"/>
      <c r="J35" s="868"/>
      <c r="K35" s="629"/>
    </row>
    <row r="36" spans="2:14" ht="14.25" thickBot="1">
      <c r="B36" s="634" t="str">
        <f>'[8]equity'!B32</f>
        <v>Balance at 31 January 2007</v>
      </c>
      <c r="C36" s="633">
        <f aca="true" t="shared" si="1" ref="C36:H36">SUM(C28:C34)</f>
        <v>53106</v>
      </c>
      <c r="D36" s="633">
        <f t="shared" si="1"/>
        <v>3715</v>
      </c>
      <c r="E36" s="633">
        <f t="shared" si="1"/>
        <v>377</v>
      </c>
      <c r="F36" s="633">
        <f t="shared" si="1"/>
        <v>1092</v>
      </c>
      <c r="G36" s="633">
        <f t="shared" si="1"/>
        <v>2085</v>
      </c>
      <c r="H36" s="633">
        <f t="shared" si="1"/>
        <v>23777.1</v>
      </c>
      <c r="I36" s="633">
        <f>SUM(I28:I35)</f>
        <v>84152.1</v>
      </c>
      <c r="J36" s="869">
        <f>SUM(J28:J33)</f>
        <v>61763.899999999994</v>
      </c>
      <c r="K36" s="633">
        <f>SUM(I36:J36)</f>
        <v>145916</v>
      </c>
      <c r="M36" s="640">
        <f>'[8]FRS BS'!D38</f>
        <v>145916</v>
      </c>
      <c r="N36" s="644"/>
    </row>
    <row r="37" spans="2:13" ht="13.5" thickTop="1">
      <c r="B37" s="634"/>
      <c r="C37" s="635"/>
      <c r="D37" s="635"/>
      <c r="E37" s="635"/>
      <c r="F37" s="635"/>
      <c r="G37" s="635"/>
      <c r="H37" s="635"/>
      <c r="I37" s="635"/>
      <c r="J37" s="868"/>
      <c r="K37" s="623"/>
      <c r="M37" s="866">
        <f>+M36-K36</f>
        <v>0</v>
      </c>
    </row>
    <row r="38" spans="3:11" ht="12.75">
      <c r="C38" s="623"/>
      <c r="D38" s="623"/>
      <c r="E38" s="623"/>
      <c r="F38" s="623"/>
      <c r="G38" s="623"/>
      <c r="H38" s="623"/>
      <c r="I38" s="623"/>
      <c r="K38" s="623"/>
    </row>
    <row r="39" ht="12.75">
      <c r="K39" s="623"/>
    </row>
    <row r="40" ht="12.75">
      <c r="K40" s="623"/>
    </row>
    <row r="41" ht="12.75">
      <c r="K41" s="623"/>
    </row>
    <row r="42" ht="12.75">
      <c r="K42" s="623"/>
    </row>
    <row r="43" ht="12.75">
      <c r="K43" s="623"/>
    </row>
    <row r="44" ht="12.75">
      <c r="K44" s="623"/>
    </row>
    <row r="45" ht="12.75">
      <c r="K45" s="623"/>
    </row>
    <row r="46" ht="12.75">
      <c r="K46" s="623"/>
    </row>
    <row r="47" ht="12.75">
      <c r="K47" s="623"/>
    </row>
    <row r="48" ht="12.75">
      <c r="K48" s="623"/>
    </row>
    <row r="49" ht="12.75">
      <c r="K49" s="623"/>
    </row>
    <row r="50" ht="12.75">
      <c r="K50" s="623"/>
    </row>
    <row r="51" ht="12.75">
      <c r="K51" s="623"/>
    </row>
    <row r="52" ht="12.75">
      <c r="K52" s="623"/>
    </row>
    <row r="53" ht="12.75">
      <c r="K53" s="623"/>
    </row>
  </sheetData>
  <mergeCells count="2">
    <mergeCell ref="E7:G7"/>
    <mergeCell ref="E9:F9"/>
  </mergeCells>
  <printOptions horizontalCentered="1" verticalCentered="1"/>
  <pageMargins left="0.25" right="0.25" top="0.39" bottom="0.8" header="0.36" footer="0.5"/>
  <pageSetup fitToHeight="1" fitToWidth="1" horizontalDpi="600" verticalDpi="600" orientation="landscape" scale="92" r:id="rId2"/>
  <drawing r:id="rId1"/>
</worksheet>
</file>

<file path=xl/worksheets/sheet30.xml><?xml version="1.0" encoding="utf-8"?>
<worksheet xmlns="http://schemas.openxmlformats.org/spreadsheetml/2006/main" xmlns:r="http://schemas.openxmlformats.org/officeDocument/2006/relationships">
  <sheetPr>
    <tabColor indexed="13"/>
  </sheetPr>
  <dimension ref="A1:I144"/>
  <sheetViews>
    <sheetView zoomScale="60" zoomScaleNormal="60" workbookViewId="0" topLeftCell="A14">
      <selection activeCell="F56" sqref="F56"/>
    </sheetView>
  </sheetViews>
  <sheetFormatPr defaultColWidth="9.140625" defaultRowHeight="12.75"/>
  <cols>
    <col min="1" max="1" width="14.7109375" style="2" customWidth="1"/>
    <col min="2" max="2" width="28.8515625" style="2" customWidth="1"/>
    <col min="3" max="3" width="23.28125" style="18" customWidth="1"/>
    <col min="4" max="4" width="17.8515625" style="2" customWidth="1"/>
    <col min="5" max="5" width="8.8515625" style="2" customWidth="1"/>
    <col min="6" max="6" width="17.140625" style="2" hidden="1" customWidth="1"/>
    <col min="7" max="7" width="14.57421875" style="2" customWidth="1"/>
    <col min="8" max="8" width="8.8515625" style="2" customWidth="1"/>
    <col min="9" max="9" width="15.8515625" style="2" bestFit="1" customWidth="1"/>
    <col min="10" max="16384" width="8.8515625" style="2" customWidth="1"/>
  </cols>
  <sheetData>
    <row r="1" ht="15.75">
      <c r="A1" s="86" t="s">
        <v>318</v>
      </c>
    </row>
    <row r="2" ht="15.75">
      <c r="A2" s="86"/>
    </row>
    <row r="3" ht="15.75">
      <c r="A3" s="86" t="s">
        <v>1269</v>
      </c>
    </row>
    <row r="5" ht="12.75">
      <c r="A5" s="2" t="s">
        <v>1270</v>
      </c>
    </row>
    <row r="6" spans="1:9" ht="12.75">
      <c r="A6" s="2" t="s">
        <v>518</v>
      </c>
      <c r="C6" s="18">
        <v>2362000</v>
      </c>
      <c r="I6" s="166">
        <f>+C6</f>
        <v>2362000</v>
      </c>
    </row>
    <row r="7" spans="1:9" ht="12.75">
      <c r="A7" s="2" t="s">
        <v>933</v>
      </c>
      <c r="C7" s="18">
        <v>770000</v>
      </c>
      <c r="I7" s="166">
        <f>+C7</f>
        <v>770000</v>
      </c>
    </row>
    <row r="8" spans="1:3" ht="12.75">
      <c r="A8" s="2" t="s">
        <v>516</v>
      </c>
      <c r="C8" s="18">
        <v>1476500</v>
      </c>
    </row>
    <row r="9" spans="1:3" ht="12.75">
      <c r="A9" s="2" t="s">
        <v>517</v>
      </c>
      <c r="C9" s="18">
        <v>186000</v>
      </c>
    </row>
    <row r="10" spans="1:9" ht="12.75">
      <c r="A10" s="2" t="s">
        <v>1271</v>
      </c>
      <c r="C10" s="18">
        <v>503000</v>
      </c>
      <c r="I10" s="166">
        <f>+C10</f>
        <v>503000</v>
      </c>
    </row>
    <row r="11" spans="1:9" ht="12.75">
      <c r="A11" s="2" t="s">
        <v>1272</v>
      </c>
      <c r="C11" s="18">
        <v>76000</v>
      </c>
      <c r="I11" s="166">
        <f>+C11</f>
        <v>76000</v>
      </c>
    </row>
    <row r="12" spans="1:9" ht="12.75">
      <c r="A12" s="2" t="s">
        <v>1273</v>
      </c>
      <c r="C12" s="18">
        <v>53000</v>
      </c>
      <c r="I12" s="166">
        <f>+C12</f>
        <v>53000</v>
      </c>
    </row>
    <row r="13" spans="1:9" ht="12.75">
      <c r="A13" s="2" t="s">
        <v>513</v>
      </c>
      <c r="C13" s="18">
        <v>-1355000</v>
      </c>
      <c r="D13" s="166"/>
      <c r="I13" s="166">
        <f>+C13</f>
        <v>-1355000</v>
      </c>
    </row>
    <row r="14" spans="1:9" ht="12.75">
      <c r="A14" s="2" t="s">
        <v>1300</v>
      </c>
      <c r="C14" s="31">
        <v>373620</v>
      </c>
      <c r="D14" s="181">
        <f>SUM(C6:C14)</f>
        <v>4445120</v>
      </c>
      <c r="I14" s="181"/>
    </row>
    <row r="15" spans="4:9" ht="12.75">
      <c r="D15" s="166"/>
      <c r="I15" s="166">
        <f>SUM(I6:I13)</f>
        <v>2409000</v>
      </c>
    </row>
    <row r="16" ht="12.75">
      <c r="A16" s="2" t="s">
        <v>1275</v>
      </c>
    </row>
    <row r="17" spans="1:3" ht="12.75">
      <c r="A17" s="2" t="s">
        <v>1276</v>
      </c>
      <c r="C17" s="18">
        <v>867051.48</v>
      </c>
    </row>
    <row r="18" spans="1:3" ht="12.75">
      <c r="A18" s="2" t="s">
        <v>1277</v>
      </c>
      <c r="C18" s="18">
        <v>400385.16</v>
      </c>
    </row>
    <row r="19" spans="1:9" ht="12.75">
      <c r="A19" s="2" t="s">
        <v>1278</v>
      </c>
      <c r="C19" s="18">
        <v>76000</v>
      </c>
      <c r="I19" s="166">
        <f>+C19</f>
        <v>76000</v>
      </c>
    </row>
    <row r="20" spans="1:9" ht="12.75">
      <c r="A20" s="2" t="s">
        <v>1279</v>
      </c>
      <c r="C20" s="18">
        <v>-307699.38</v>
      </c>
      <c r="I20" s="166">
        <f>+C20</f>
        <v>-307699.38</v>
      </c>
    </row>
    <row r="21" spans="1:4" ht="12.75">
      <c r="A21" s="2" t="s">
        <v>1280</v>
      </c>
      <c r="C21" s="31">
        <v>-54832</v>
      </c>
      <c r="D21" s="181">
        <f>SUM(C17:C21)</f>
        <v>980905.2599999999</v>
      </c>
    </row>
    <row r="23" spans="1:9" ht="12.75">
      <c r="A23" s="2" t="s">
        <v>1281</v>
      </c>
      <c r="D23" s="31">
        <v>-2680000</v>
      </c>
      <c r="I23" s="181">
        <f>+D23</f>
        <v>-2680000</v>
      </c>
    </row>
    <row r="24" spans="4:9" ht="12.75">
      <c r="D24" s="166">
        <f>SUM(D14:D23)</f>
        <v>2746025.26</v>
      </c>
      <c r="I24" s="184">
        <f>SUM(I15:I23)</f>
        <v>-502699.3799999999</v>
      </c>
    </row>
    <row r="25" ht="12.75">
      <c r="A25" s="179" t="s">
        <v>1282</v>
      </c>
    </row>
    <row r="26" spans="1:4" ht="12.75">
      <c r="A26" s="2" t="s">
        <v>1283</v>
      </c>
      <c r="D26" s="166">
        <f>-C14</f>
        <v>-373620</v>
      </c>
    </row>
    <row r="28" ht="12.75">
      <c r="D28" s="180">
        <f>D24+D26</f>
        <v>2372405.26</v>
      </c>
    </row>
    <row r="29" ht="12.75">
      <c r="A29" s="2" t="s">
        <v>1285</v>
      </c>
    </row>
    <row r="30" spans="1:4" ht="12.75">
      <c r="A30" s="2" t="s">
        <v>1284</v>
      </c>
      <c r="D30" s="18">
        <v>-1662500</v>
      </c>
    </row>
    <row r="31" ht="12.75">
      <c r="D31" s="180">
        <f>SUM(D28:D30)</f>
        <v>709905.2599999998</v>
      </c>
    </row>
    <row r="32" ht="12.75">
      <c r="D32" s="166"/>
    </row>
    <row r="33" ht="12.75">
      <c r="A33" s="2" t="s">
        <v>1286</v>
      </c>
    </row>
    <row r="34" spans="1:4" ht="12.75">
      <c r="A34" s="2" t="s">
        <v>1287</v>
      </c>
      <c r="D34" s="18">
        <v>-709905.26</v>
      </c>
    </row>
    <row r="35" ht="13.5" thickBot="1">
      <c r="D35" s="170">
        <f>SUM(D31:D34)</f>
        <v>0</v>
      </c>
    </row>
    <row r="36" ht="13.5" thickTop="1">
      <c r="D36" s="166"/>
    </row>
    <row r="37" ht="12.75">
      <c r="D37" s="166"/>
    </row>
    <row r="38" spans="1:4" ht="12.75">
      <c r="A38" s="65" t="s">
        <v>1391</v>
      </c>
      <c r="D38" s="166"/>
    </row>
    <row r="39" spans="1:7" ht="12.75">
      <c r="A39" s="65"/>
      <c r="D39" s="1023" t="s">
        <v>1413</v>
      </c>
      <c r="F39" s="9" t="s">
        <v>1414</v>
      </c>
      <c r="G39" s="187" t="s">
        <v>1033</v>
      </c>
    </row>
    <row r="40" spans="4:7" ht="15">
      <c r="D40" s="1024" t="s">
        <v>317</v>
      </c>
      <c r="F40" s="187" t="s">
        <v>317</v>
      </c>
      <c r="G40" s="187" t="s">
        <v>317</v>
      </c>
    </row>
    <row r="41" spans="1:7" ht="12.75">
      <c r="A41" s="2" t="s">
        <v>1400</v>
      </c>
      <c r="D41" s="166">
        <f>-+je!H21</f>
        <v>-85600</v>
      </c>
      <c r="F41" s="860">
        <v>-85600</v>
      </c>
      <c r="G41" s="860">
        <f>+D41-F41</f>
        <v>0</v>
      </c>
    </row>
    <row r="42" spans="1:7" ht="12.75">
      <c r="A42" s="2" t="s">
        <v>1401</v>
      </c>
      <c r="D42" s="860">
        <f>-+je!H42</f>
        <v>214001</v>
      </c>
      <c r="F42" s="860">
        <v>214001</v>
      </c>
      <c r="G42" s="860">
        <f>+D42-F42</f>
        <v>0</v>
      </c>
    </row>
    <row r="43" spans="1:7" ht="12.75">
      <c r="A43" s="2" t="s">
        <v>1392</v>
      </c>
      <c r="D43" s="860">
        <f>-+je!H121</f>
        <v>224756</v>
      </c>
      <c r="F43" s="860">
        <v>224756</v>
      </c>
      <c r="G43" s="860">
        <f>+D43-F43</f>
        <v>0</v>
      </c>
    </row>
    <row r="44" spans="1:7" ht="12.75">
      <c r="A44" s="12" t="s">
        <v>1393</v>
      </c>
      <c r="D44" s="860">
        <f>-+je!H122</f>
        <v>229286</v>
      </c>
      <c r="F44" s="860">
        <v>229286</v>
      </c>
      <c r="G44" s="860">
        <f>+D44-F44</f>
        <v>0</v>
      </c>
    </row>
    <row r="45" spans="1:7" ht="12.75">
      <c r="A45" s="12" t="s">
        <v>1394</v>
      </c>
      <c r="D45" s="1078">
        <f>-+je!H123</f>
        <v>509341</v>
      </c>
      <c r="F45" s="860">
        <v>494306</v>
      </c>
      <c r="G45" s="860">
        <f>+D45-F45</f>
        <v>15035</v>
      </c>
    </row>
    <row r="46" spans="4:7" ht="13.5" thickBot="1">
      <c r="D46" s="899">
        <f>SUM(D41:D45)</f>
        <v>1091784</v>
      </c>
      <c r="F46" s="899">
        <f>SUM(F41:F45)</f>
        <v>1076749</v>
      </c>
      <c r="G46" s="899">
        <f>SUM(G41:G45)</f>
        <v>15035</v>
      </c>
    </row>
    <row r="47" spans="1:7" ht="13.5" thickTop="1">
      <c r="A47" s="12"/>
      <c r="D47" s="860"/>
      <c r="F47" s="860"/>
      <c r="G47" s="860"/>
    </row>
    <row r="48" spans="1:7" ht="13.5" thickBot="1">
      <c r="A48" s="2" t="s">
        <v>589</v>
      </c>
      <c r="D48" s="920">
        <f>+'B. Sheet'!Z77*1000</f>
        <v>1091784</v>
      </c>
      <c r="F48" s="860"/>
      <c r="G48" s="860"/>
    </row>
    <row r="49" spans="4:7" ht="13.5" thickTop="1">
      <c r="D49" s="861"/>
      <c r="F49" s="860"/>
      <c r="G49" s="860"/>
    </row>
    <row r="50" spans="4:7" ht="12.75">
      <c r="D50" s="861">
        <f>+D46-D48</f>
        <v>0</v>
      </c>
      <c r="F50" s="860"/>
      <c r="G50" s="860"/>
    </row>
    <row r="51" ht="12.75">
      <c r="D51" s="860"/>
    </row>
    <row r="52" spans="1:7" ht="15.75">
      <c r="A52" s="183"/>
      <c r="B52" s="24"/>
      <c r="C52" s="182"/>
      <c r="D52" s="864"/>
      <c r="E52" s="24"/>
      <c r="F52" s="24"/>
      <c r="G52" s="24"/>
    </row>
    <row r="53" spans="1:7" ht="15.75">
      <c r="A53" s="185" t="s">
        <v>1288</v>
      </c>
      <c r="B53" s="61"/>
      <c r="C53" s="63"/>
      <c r="D53" s="61"/>
      <c r="E53" s="61"/>
      <c r="F53" s="61"/>
      <c r="G53" s="61"/>
    </row>
    <row r="55" ht="12.75">
      <c r="A55" s="2" t="s">
        <v>1270</v>
      </c>
    </row>
    <row r="56" spans="1:4" ht="12.75">
      <c r="A56" s="2" t="s">
        <v>518</v>
      </c>
      <c r="D56" s="18">
        <v>2362000</v>
      </c>
    </row>
    <row r="57" spans="1:4" ht="12.75">
      <c r="A57" s="2" t="s">
        <v>933</v>
      </c>
      <c r="D57" s="18">
        <v>770000</v>
      </c>
    </row>
    <row r="58" spans="1:4" ht="12.75">
      <c r="A58" s="2" t="s">
        <v>516</v>
      </c>
      <c r="D58" s="18">
        <v>1476500</v>
      </c>
    </row>
    <row r="59" spans="1:4" ht="12.75">
      <c r="A59" s="2" t="s">
        <v>517</v>
      </c>
      <c r="D59" s="18">
        <v>186000</v>
      </c>
    </row>
    <row r="60" spans="1:4" ht="12.75">
      <c r="A60" s="2" t="s">
        <v>1271</v>
      </c>
      <c r="D60" s="18">
        <v>503000</v>
      </c>
    </row>
    <row r="61" spans="1:4" ht="12.75">
      <c r="A61" s="2" t="s">
        <v>1272</v>
      </c>
      <c r="D61" s="18">
        <v>76000</v>
      </c>
    </row>
    <row r="62" spans="1:4" ht="12.75">
      <c r="A62" s="2" t="s">
        <v>1273</v>
      </c>
      <c r="D62" s="18">
        <v>53000</v>
      </c>
    </row>
    <row r="63" spans="1:4" ht="12.75">
      <c r="A63" s="2" t="s">
        <v>513</v>
      </c>
      <c r="D63" s="18">
        <v>-1355000</v>
      </c>
    </row>
    <row r="64" spans="1:6" ht="12.75">
      <c r="A64" s="2" t="s">
        <v>1274</v>
      </c>
      <c r="D64" s="31">
        <v>373620</v>
      </c>
      <c r="E64" s="166"/>
      <c r="F64" s="166"/>
    </row>
    <row r="65" ht="12.75">
      <c r="D65" s="18">
        <f>SUM(D56:D64)</f>
        <v>4445120</v>
      </c>
    </row>
    <row r="66" ht="12.75">
      <c r="A66" s="179" t="s">
        <v>1282</v>
      </c>
    </row>
    <row r="67" spans="1:4" ht="12.75">
      <c r="A67" s="2" t="s">
        <v>1283</v>
      </c>
      <c r="D67" s="181">
        <f>-D64</f>
        <v>-373620</v>
      </c>
    </row>
    <row r="68" ht="12.75">
      <c r="D68" s="18">
        <f>SUM(D65:D67)</f>
        <v>4071500</v>
      </c>
    </row>
    <row r="69" ht="12.75">
      <c r="A69" s="2" t="s">
        <v>1285</v>
      </c>
    </row>
    <row r="70" spans="1:4" ht="12.75">
      <c r="A70" s="2" t="s">
        <v>1284</v>
      </c>
      <c r="D70" s="31">
        <v>-1662500</v>
      </c>
    </row>
    <row r="71" spans="1:4" ht="12.75">
      <c r="A71" s="60" t="s">
        <v>1290</v>
      </c>
      <c r="D71" s="18">
        <f>SUM(D68:D70)</f>
        <v>2409000</v>
      </c>
    </row>
    <row r="72" spans="1:4" ht="12.75">
      <c r="A72" s="60"/>
      <c r="D72" s="18"/>
    </row>
    <row r="73" ht="12.75">
      <c r="A73" s="60" t="s">
        <v>1289</v>
      </c>
    </row>
    <row r="74" spans="1:4" ht="12.75">
      <c r="A74" s="2" t="s">
        <v>350</v>
      </c>
      <c r="D74" s="31">
        <v>856000</v>
      </c>
    </row>
    <row r="75" ht="13.5" thickBot="1">
      <c r="D75" s="90">
        <f>SUM(D71:D74)</f>
        <v>3265000</v>
      </c>
    </row>
    <row r="76" ht="13.5" thickTop="1">
      <c r="D76" s="63"/>
    </row>
    <row r="78" spans="1:7" ht="12.75">
      <c r="A78" s="24"/>
      <c r="B78" s="24"/>
      <c r="C78" s="182"/>
      <c r="D78" s="24"/>
      <c r="E78" s="24"/>
      <c r="F78" s="24"/>
      <c r="G78" s="24"/>
    </row>
    <row r="79" ht="15.75">
      <c r="A79" s="86" t="s">
        <v>1294</v>
      </c>
    </row>
    <row r="80" ht="15.75">
      <c r="A80" s="86"/>
    </row>
    <row r="81" spans="2:6" ht="12.75">
      <c r="B81" s="9" t="s">
        <v>369</v>
      </c>
      <c r="D81" s="9" t="s">
        <v>1296</v>
      </c>
      <c r="F81" s="9" t="s">
        <v>1297</v>
      </c>
    </row>
    <row r="82" ht="12.75">
      <c r="D82" s="9"/>
    </row>
    <row r="83" spans="1:7" ht="12.75">
      <c r="A83" s="2" t="s">
        <v>318</v>
      </c>
      <c r="D83" s="18">
        <f>D31</f>
        <v>709905.2599999998</v>
      </c>
      <c r="F83" s="280">
        <f>D83</f>
        <v>709905.2599999998</v>
      </c>
      <c r="G83" s="2" t="s">
        <v>796</v>
      </c>
    </row>
    <row r="84" spans="1:6" ht="12.75">
      <c r="A84" s="2" t="s">
        <v>333</v>
      </c>
      <c r="B84" s="167"/>
      <c r="D84" s="18">
        <f>+D74</f>
        <v>856000</v>
      </c>
      <c r="F84" s="166">
        <f>+D74</f>
        <v>856000</v>
      </c>
    </row>
    <row r="85" spans="1:6" ht="12.75">
      <c r="A85" s="2" t="s">
        <v>320</v>
      </c>
      <c r="D85" s="18">
        <f>+'B. Sheet'!D76*1000</f>
        <v>201762</v>
      </c>
      <c r="F85" s="166">
        <f>+D85</f>
        <v>201762</v>
      </c>
    </row>
    <row r="86" spans="1:7" ht="12.75">
      <c r="A86" s="2" t="s">
        <v>332</v>
      </c>
      <c r="B86" s="567">
        <v>0.16</v>
      </c>
      <c r="C86" s="18" t="s">
        <v>793</v>
      </c>
      <c r="D86" s="18">
        <v>1082793</v>
      </c>
      <c r="E86" s="2" t="s">
        <v>793</v>
      </c>
      <c r="F86" s="280">
        <f>+D86*84%</f>
        <v>909546.12</v>
      </c>
      <c r="G86" s="2" t="s">
        <v>796</v>
      </c>
    </row>
    <row r="87" spans="1:6" ht="12.75">
      <c r="A87" s="2" t="s">
        <v>350</v>
      </c>
      <c r="B87" s="167">
        <v>0.4</v>
      </c>
      <c r="D87" s="18">
        <v>1955459.58</v>
      </c>
      <c r="F87" s="166">
        <f>+D87</f>
        <v>1955459.58</v>
      </c>
    </row>
    <row r="88" spans="4:6" ht="12.75">
      <c r="D88" s="182">
        <f>SUM(D83:D87)</f>
        <v>4805919.84</v>
      </c>
      <c r="F88" s="182">
        <f>SUM(F83:F87)</f>
        <v>4632672.96</v>
      </c>
    </row>
    <row r="90" spans="1:6" ht="12.75">
      <c r="A90" s="2" t="s">
        <v>1293</v>
      </c>
      <c r="D90" s="18">
        <f>-ROUND(+D86*$B$86+D87*$B$87,2)</f>
        <v>-955430.71</v>
      </c>
      <c r="F90" s="18">
        <f>-ROUND(+F87*$B$87,2)</f>
        <v>-782183.83</v>
      </c>
    </row>
    <row r="91" spans="4:6" ht="12.75">
      <c r="D91" s="180">
        <f>SUM(D88:D90)</f>
        <v>3850489.13</v>
      </c>
      <c r="F91" s="180">
        <f>SUM(F88:F90)</f>
        <v>3850489.13</v>
      </c>
    </row>
    <row r="92" spans="1:6" ht="12.75">
      <c r="A92" s="2" t="s">
        <v>1295</v>
      </c>
      <c r="D92" s="166">
        <f>-D75</f>
        <v>-3265000</v>
      </c>
      <c r="F92" s="166">
        <f>-D75</f>
        <v>-3265000</v>
      </c>
    </row>
    <row r="93" spans="4:6" ht="13.5" thickBot="1">
      <c r="D93" s="170">
        <f>SUM(D91:D92)</f>
        <v>585489.1299999999</v>
      </c>
      <c r="F93" s="180">
        <f>SUM(F91:F92)</f>
        <v>585489.1299999999</v>
      </c>
    </row>
    <row r="94" ht="13.5" thickTop="1"/>
    <row r="95" spans="1:6" ht="12.75">
      <c r="A95" s="2" t="s">
        <v>1302</v>
      </c>
      <c r="F95" s="18">
        <v>0</v>
      </c>
    </row>
    <row r="96" ht="13.5" thickBot="1">
      <c r="F96" s="170">
        <f>SUM(F93:F95)</f>
        <v>585489.1299999999</v>
      </c>
    </row>
    <row r="97" ht="13.5" thickTop="1"/>
    <row r="99" ht="12.75">
      <c r="A99" s="65" t="s">
        <v>803</v>
      </c>
    </row>
    <row r="100" spans="1:5" ht="12.75">
      <c r="A100" s="2" t="s">
        <v>809</v>
      </c>
      <c r="D100" s="166">
        <f>+D86*0.16</f>
        <v>173246.88</v>
      </c>
      <c r="E100" s="2" t="s">
        <v>810</v>
      </c>
    </row>
    <row r="101" spans="1:5" ht="12.75">
      <c r="A101" s="2" t="s">
        <v>811</v>
      </c>
      <c r="D101" s="166">
        <f>+F83+F86</f>
        <v>1619451.38</v>
      </c>
      <c r="E101" s="2" t="s">
        <v>810</v>
      </c>
    </row>
    <row r="102" ht="13.5" thickBot="1">
      <c r="D102" s="170">
        <f>SUM(D100:D101)</f>
        <v>1792698.2599999998</v>
      </c>
    </row>
    <row r="103" ht="13.5" thickTop="1"/>
    <row r="105" ht="12.75">
      <c r="A105" s="65" t="s">
        <v>1402</v>
      </c>
    </row>
    <row r="106" spans="1:7" ht="12.75">
      <c r="A106" s="65"/>
      <c r="D106" s="9" t="s">
        <v>1413</v>
      </c>
      <c r="F106" s="9" t="s">
        <v>1414</v>
      </c>
      <c r="G106" s="187" t="s">
        <v>1033</v>
      </c>
    </row>
    <row r="107" spans="4:7" ht="12.75">
      <c r="D107" s="187" t="s">
        <v>521</v>
      </c>
      <c r="F107" s="187" t="s">
        <v>521</v>
      </c>
      <c r="G107" s="187" t="s">
        <v>521</v>
      </c>
    </row>
    <row r="108" spans="1:7" ht="12.75">
      <c r="A108" s="2" t="s">
        <v>1403</v>
      </c>
      <c r="D108" s="826">
        <f>+'B. Sheet'!D76</f>
        <v>201.762</v>
      </c>
      <c r="E108" s="826"/>
      <c r="F108" s="826">
        <v>201.762</v>
      </c>
      <c r="G108" s="826">
        <f>+D108-F108</f>
        <v>0</v>
      </c>
    </row>
    <row r="109" spans="1:7" ht="12.75">
      <c r="A109" s="2" t="s">
        <v>318</v>
      </c>
      <c r="D109" s="826">
        <f>+'B. Sheet'!K76</f>
        <v>83908.483</v>
      </c>
      <c r="E109" s="826"/>
      <c r="F109" s="826">
        <v>0</v>
      </c>
      <c r="G109" s="826">
        <f>+D109-F109</f>
        <v>83908.483</v>
      </c>
    </row>
    <row r="110" spans="1:7" ht="12.75">
      <c r="A110" s="2" t="s">
        <v>518</v>
      </c>
      <c r="D110" s="826">
        <f>+'B. Sheet'!M76</f>
        <v>856</v>
      </c>
      <c r="E110" s="826"/>
      <c r="F110" s="826">
        <v>856</v>
      </c>
      <c r="G110" s="826">
        <f>+D110-F110</f>
        <v>0</v>
      </c>
    </row>
    <row r="111" spans="1:7" ht="12.75">
      <c r="A111" s="2" t="s">
        <v>292</v>
      </c>
      <c r="D111" s="826">
        <f>+'B. Sheet'!N76</f>
        <v>1607.459</v>
      </c>
      <c r="E111" s="826"/>
      <c r="F111" s="826">
        <v>1607.459</v>
      </c>
      <c r="G111" s="826">
        <f>+D111-F111</f>
        <v>0</v>
      </c>
    </row>
    <row r="112" spans="4:6" ht="12.75">
      <c r="D112" s="1025">
        <f>SUM(D108:D111)</f>
        <v>86573.704</v>
      </c>
      <c r="E112" s="826"/>
      <c r="F112" s="1025">
        <f>SUM(F108:F111)</f>
        <v>2665.221</v>
      </c>
    </row>
    <row r="113" spans="1:6" ht="12.75">
      <c r="A113" s="65" t="s">
        <v>1404</v>
      </c>
      <c r="D113" s="826"/>
      <c r="E113" s="826"/>
      <c r="F113" s="826"/>
    </row>
    <row r="114" spans="1:7" ht="12.75">
      <c r="A114" s="2" t="s">
        <v>1405</v>
      </c>
      <c r="D114" s="826">
        <f>-+je!L13/1000</f>
        <v>-3265</v>
      </c>
      <c r="E114" s="826"/>
      <c r="F114" s="826">
        <v>-3265</v>
      </c>
      <c r="G114" s="826">
        <f>+D114-F114</f>
        <v>0</v>
      </c>
    </row>
    <row r="115" spans="1:7" ht="12.75">
      <c r="A115" s="2" t="s">
        <v>1406</v>
      </c>
      <c r="D115" s="826">
        <f>-+je!L22/1000</f>
        <v>-642.984</v>
      </c>
      <c r="E115" s="826"/>
      <c r="F115" s="826">
        <v>-642.984</v>
      </c>
      <c r="G115" s="826">
        <f>+D115-F115</f>
        <v>0</v>
      </c>
    </row>
    <row r="116" spans="1:7" ht="12.75">
      <c r="A116" s="2" t="s">
        <v>1417</v>
      </c>
      <c r="D116" s="826">
        <f>-+je!L162/1000</f>
        <v>1619.451</v>
      </c>
      <c r="E116" s="826"/>
      <c r="F116" s="826">
        <v>1619.451</v>
      </c>
      <c r="G116" s="826">
        <f>+D116-F116</f>
        <v>0</v>
      </c>
    </row>
    <row r="117" spans="1:7" ht="12.75">
      <c r="A117" s="2" t="s">
        <v>630</v>
      </c>
      <c r="D117" s="826">
        <f>+je!D229/1000</f>
        <v>-83908.483</v>
      </c>
      <c r="E117" s="826"/>
      <c r="F117" s="826"/>
      <c r="G117" s="826"/>
    </row>
    <row r="118" spans="4:7" ht="13.5" thickBot="1">
      <c r="D118" s="827">
        <f>SUM(D112:D117)</f>
        <v>376.6880000000092</v>
      </c>
      <c r="E118" s="826"/>
      <c r="F118" s="827">
        <f>SUM(F112:F116)</f>
        <v>376.6880000000001</v>
      </c>
      <c r="G118" s="827">
        <f>SUM(G108:G116)</f>
        <v>83908.483</v>
      </c>
    </row>
    <row r="119" spans="4:7" ht="13.5" thickTop="1">
      <c r="D119" s="943"/>
      <c r="E119" s="826"/>
      <c r="F119" s="943"/>
      <c r="G119" s="943"/>
    </row>
    <row r="120" spans="1:7" ht="13.5" thickBot="1">
      <c r="A120" s="2" t="s">
        <v>588</v>
      </c>
      <c r="D120" s="1059">
        <f>+'B. Sheet'!Z76</f>
        <v>376.68799999999464</v>
      </c>
      <c r="E120" s="826"/>
      <c r="F120" s="943"/>
      <c r="G120" s="943"/>
    </row>
    <row r="121" spans="4:7" ht="13.5" thickTop="1">
      <c r="D121" s="943"/>
      <c r="E121" s="826"/>
      <c r="F121" s="943"/>
      <c r="G121" s="943"/>
    </row>
    <row r="122" spans="4:7" ht="12.75">
      <c r="D122" s="943">
        <f>+D118-D120</f>
        <v>1.4551915228366852E-11</v>
      </c>
      <c r="E122" s="826"/>
      <c r="F122" s="943"/>
      <c r="G122" s="943"/>
    </row>
    <row r="123" spans="4:7" ht="12.75">
      <c r="D123" s="943"/>
      <c r="E123" s="826"/>
      <c r="F123" s="943"/>
      <c r="G123" s="943"/>
    </row>
    <row r="124" spans="4:7" ht="12.75">
      <c r="D124" s="943"/>
      <c r="E124" s="826"/>
      <c r="F124" s="943"/>
      <c r="G124" s="943"/>
    </row>
    <row r="125" spans="4:7" ht="12.75">
      <c r="D125" s="943"/>
      <c r="E125" s="826"/>
      <c r="F125" s="943"/>
      <c r="G125" s="943"/>
    </row>
    <row r="126" spans="1:6" ht="12.75">
      <c r="A126" s="23"/>
      <c r="B126" s="24"/>
      <c r="C126" s="182"/>
      <c r="D126" s="24"/>
      <c r="E126" s="24"/>
      <c r="F126" s="262"/>
    </row>
    <row r="127" spans="1:6" ht="12.75">
      <c r="A127" s="963" t="s">
        <v>654</v>
      </c>
      <c r="B127" s="61"/>
      <c r="C127" s="63"/>
      <c r="D127" s="61"/>
      <c r="E127" s="61"/>
      <c r="F127" s="76"/>
    </row>
    <row r="128" spans="1:6" ht="12.75">
      <c r="A128" s="963"/>
      <c r="B128" s="61"/>
      <c r="C128" s="63"/>
      <c r="D128" s="73" t="s">
        <v>365</v>
      </c>
      <c r="E128" s="873"/>
      <c r="F128" s="74" t="s">
        <v>366</v>
      </c>
    </row>
    <row r="129" spans="1:6" ht="12.75">
      <c r="A129" s="75"/>
      <c r="B129" s="61"/>
      <c r="C129" s="63"/>
      <c r="D129" s="73" t="s">
        <v>317</v>
      </c>
      <c r="E129" s="873"/>
      <c r="F129" s="74" t="s">
        <v>317</v>
      </c>
    </row>
    <row r="130" spans="1:6" ht="12.75">
      <c r="A130" s="963" t="s">
        <v>1637</v>
      </c>
      <c r="B130" s="61"/>
      <c r="C130" s="63"/>
      <c r="D130" s="61"/>
      <c r="E130" s="61"/>
      <c r="F130" s="76"/>
    </row>
    <row r="131" spans="1:6" ht="12.75">
      <c r="A131" s="75" t="s">
        <v>608</v>
      </c>
      <c r="B131" s="61"/>
      <c r="C131" s="63"/>
      <c r="D131" s="89">
        <f>+D102</f>
        <v>1792698.2599999998</v>
      </c>
      <c r="E131" s="61"/>
      <c r="F131" s="973"/>
    </row>
    <row r="132" spans="1:6" ht="12.75">
      <c r="A132" s="75" t="s">
        <v>663</v>
      </c>
      <c r="B132" s="61"/>
      <c r="C132" s="63"/>
      <c r="D132" s="61"/>
      <c r="E132" s="61"/>
      <c r="F132" s="973">
        <f>+D100</f>
        <v>173246.88</v>
      </c>
    </row>
    <row r="133" spans="1:6" ht="12.75">
      <c r="A133" s="75" t="s">
        <v>664</v>
      </c>
      <c r="B133" s="61"/>
      <c r="C133" s="63"/>
      <c r="D133" s="61"/>
      <c r="E133" s="61"/>
      <c r="F133" s="973">
        <f>+D101</f>
        <v>1619451.38</v>
      </c>
    </row>
    <row r="134" spans="1:6" ht="13.5" thickBot="1">
      <c r="A134" s="75"/>
      <c r="B134" s="61"/>
      <c r="C134" s="63"/>
      <c r="D134" s="170">
        <f>SUM(D131:D133)</f>
        <v>1792698.2599999998</v>
      </c>
      <c r="E134" s="170"/>
      <c r="F134" s="974">
        <f>SUM(F131:F133)</f>
        <v>1792698.2599999998</v>
      </c>
    </row>
    <row r="135" spans="1:6" ht="13.5" thickTop="1">
      <c r="A135" s="75" t="s">
        <v>665</v>
      </c>
      <c r="B135" s="61"/>
      <c r="C135" s="63"/>
      <c r="D135" s="61"/>
      <c r="E135" s="61"/>
      <c r="F135" s="76"/>
    </row>
    <row r="136" spans="1:6" ht="12.75">
      <c r="A136" s="75"/>
      <c r="B136" s="61"/>
      <c r="C136" s="63"/>
      <c r="D136" s="61"/>
      <c r="E136" s="61"/>
      <c r="F136" s="76"/>
    </row>
    <row r="137" spans="1:6" ht="12.75">
      <c r="A137" s="75"/>
      <c r="B137" s="61"/>
      <c r="C137" s="63"/>
      <c r="D137" s="61"/>
      <c r="E137" s="61"/>
      <c r="F137" s="76"/>
    </row>
    <row r="138" spans="1:6" ht="12.75">
      <c r="A138" s="963" t="s">
        <v>627</v>
      </c>
      <c r="B138" s="61"/>
      <c r="C138" s="63"/>
      <c r="D138" s="61"/>
      <c r="E138" s="61"/>
      <c r="F138" s="76"/>
    </row>
    <row r="139" spans="1:6" ht="12.75">
      <c r="A139" s="1072" t="s">
        <v>664</v>
      </c>
      <c r="B139" s="1073"/>
      <c r="C139" s="1073"/>
      <c r="D139" s="61">
        <f>+je!C228</f>
        <v>83908483</v>
      </c>
      <c r="E139" s="61"/>
      <c r="F139" s="76"/>
    </row>
    <row r="140" spans="1:6" ht="12.75">
      <c r="A140" s="1072" t="s">
        <v>628</v>
      </c>
      <c r="B140" s="1073"/>
      <c r="C140" s="1073"/>
      <c r="D140" s="61"/>
      <c r="E140" s="61"/>
      <c r="F140" s="76">
        <f>-+je!D229</f>
        <v>83908483</v>
      </c>
    </row>
    <row r="141" spans="1:6" ht="13.5" thickBot="1">
      <c r="A141" s="75"/>
      <c r="B141" s="61"/>
      <c r="C141" s="63"/>
      <c r="D141" s="1074">
        <f>SUM(D139:D140)</f>
        <v>83908483</v>
      </c>
      <c r="E141" s="1074"/>
      <c r="F141" s="1075">
        <f>SUM(F140)</f>
        <v>83908483</v>
      </c>
    </row>
    <row r="142" spans="1:6" ht="13.5" thickTop="1">
      <c r="A142" s="75" t="s">
        <v>632</v>
      </c>
      <c r="B142" s="61"/>
      <c r="C142" s="63"/>
      <c r="D142" s="61"/>
      <c r="E142" s="61"/>
      <c r="F142" s="76"/>
    </row>
    <row r="143" spans="1:6" ht="12.75">
      <c r="A143" s="75"/>
      <c r="B143" s="61"/>
      <c r="C143" s="63"/>
      <c r="D143" s="61"/>
      <c r="E143" s="61"/>
      <c r="F143" s="76"/>
    </row>
    <row r="144" spans="1:6" ht="12.75">
      <c r="A144" s="25"/>
      <c r="B144" s="26"/>
      <c r="C144" s="31"/>
      <c r="D144" s="26"/>
      <c r="E144" s="26"/>
      <c r="F144" s="263"/>
    </row>
  </sheetData>
  <printOptions/>
  <pageMargins left="0.75" right="0.75" top="1" bottom="1" header="0.5" footer="0.5"/>
  <pageSetup horizontalDpi="300" verticalDpi="300" orientation="portrait" paperSize="9" scale="68" r:id="rId2"/>
  <headerFooter alignWithMargins="0">
    <oddHeader>&amp;R&amp;D  &amp;T</oddHeader>
  </headerFooter>
  <rowBreaks count="2" manualBreakCount="2">
    <brk id="51" max="6" man="1"/>
    <brk id="124" max="6" man="1"/>
  </rowBreaks>
  <drawing r:id="rId1"/>
</worksheet>
</file>

<file path=xl/worksheets/sheet31.xml><?xml version="1.0" encoding="utf-8"?>
<worksheet xmlns="http://schemas.openxmlformats.org/spreadsheetml/2006/main" xmlns:r="http://schemas.openxmlformats.org/officeDocument/2006/relationships">
  <sheetPr>
    <pageSetUpPr fitToPage="1"/>
  </sheetPr>
  <dimension ref="A1:J80"/>
  <sheetViews>
    <sheetView view="pageBreakPreview" zoomScale="60" zoomScaleNormal="60" workbookViewId="0" topLeftCell="A54">
      <selection activeCell="A54" sqref="A54"/>
    </sheetView>
  </sheetViews>
  <sheetFormatPr defaultColWidth="9.140625" defaultRowHeight="12.75"/>
  <cols>
    <col min="1" max="1" width="21.28125" style="2" customWidth="1"/>
    <col min="2" max="2" width="9.8515625" style="2" customWidth="1"/>
    <col min="3" max="3" width="15.421875" style="2" customWidth="1"/>
    <col min="4" max="4" width="16.28125" style="2" customWidth="1"/>
    <col min="5" max="5" width="15.8515625" style="2" bestFit="1" customWidth="1"/>
    <col min="6" max="6" width="14.7109375" style="2" bestFit="1" customWidth="1"/>
    <col min="7" max="7" width="14.00390625" style="2" bestFit="1" customWidth="1"/>
    <col min="8" max="8" width="7.57421875" style="2" customWidth="1"/>
    <col min="9" max="9" width="15.57421875" style="2" customWidth="1"/>
    <col min="10" max="16384" width="8.8515625" style="2" customWidth="1"/>
  </cols>
  <sheetData>
    <row r="1" spans="1:5" ht="12.75">
      <c r="A1" s="49"/>
      <c r="B1" s="91"/>
      <c r="C1" s="91"/>
      <c r="D1" s="91"/>
      <c r="E1" s="49"/>
    </row>
    <row r="2" spans="1:9" ht="13.5" thickBot="1">
      <c r="A2" s="96"/>
      <c r="B2" s="97" t="s">
        <v>351</v>
      </c>
      <c r="C2" s="97" t="s">
        <v>975</v>
      </c>
      <c r="D2" s="862" t="s">
        <v>369</v>
      </c>
      <c r="E2" s="272" t="s">
        <v>976</v>
      </c>
      <c r="F2" s="273" t="s">
        <v>977</v>
      </c>
      <c r="G2" s="275" t="s">
        <v>4</v>
      </c>
      <c r="H2" s="914"/>
      <c r="I2" s="272" t="s">
        <v>568</v>
      </c>
    </row>
    <row r="3" spans="1:9" ht="12.75">
      <c r="A3" s="266" t="s">
        <v>1191</v>
      </c>
      <c r="B3" s="267">
        <v>0.7</v>
      </c>
      <c r="C3" s="49">
        <v>100000</v>
      </c>
      <c r="D3" s="111">
        <f>(1-B3)*C3</f>
        <v>30000.000000000004</v>
      </c>
      <c r="E3" s="94">
        <v>71259</v>
      </c>
      <c r="F3" s="77">
        <f>B3*C3</f>
        <v>70000</v>
      </c>
      <c r="G3" s="916">
        <v>0</v>
      </c>
      <c r="H3" s="917"/>
      <c r="I3" s="78">
        <v>0</v>
      </c>
    </row>
    <row r="4" spans="1:9" ht="12.75">
      <c r="A4" s="33"/>
      <c r="B4" s="268"/>
      <c r="C4" s="1"/>
      <c r="D4" s="111"/>
      <c r="E4" s="270"/>
      <c r="F4" s="77"/>
      <c r="G4" s="77"/>
      <c r="H4" s="78"/>
      <c r="I4" s="78"/>
    </row>
    <row r="5" spans="1:9" ht="12.75">
      <c r="A5" s="34"/>
      <c r="B5" s="269">
        <f aca="true" t="shared" si="0" ref="B5:I5">SUM(B3:B4)</f>
        <v>0.7</v>
      </c>
      <c r="C5" s="68">
        <f t="shared" si="0"/>
        <v>100000</v>
      </c>
      <c r="D5" s="276">
        <f t="shared" si="0"/>
        <v>30000.000000000004</v>
      </c>
      <c r="E5" s="271">
        <f t="shared" si="0"/>
        <v>71259</v>
      </c>
      <c r="F5" s="274">
        <f t="shared" si="0"/>
        <v>70000</v>
      </c>
      <c r="G5" s="80">
        <f t="shared" si="0"/>
        <v>0</v>
      </c>
      <c r="H5" s="81"/>
      <c r="I5" s="276">
        <f t="shared" si="0"/>
        <v>0</v>
      </c>
    </row>
    <row r="6" ht="12.75"/>
    <row r="7" spans="6:9" ht="12.75">
      <c r="F7" s="23"/>
      <c r="G7" s="70"/>
      <c r="H7" s="70"/>
      <c r="I7" s="910"/>
    </row>
    <row r="8" spans="6:9" ht="12.75">
      <c r="F8" s="207" t="s">
        <v>318</v>
      </c>
      <c r="G8" s="165" t="s">
        <v>369</v>
      </c>
      <c r="H8" s="165"/>
      <c r="I8" s="911" t="s">
        <v>1444</v>
      </c>
    </row>
    <row r="9" spans="6:9" ht="12.75">
      <c r="F9" s="904">
        <v>0.7</v>
      </c>
      <c r="G9" s="903">
        <v>0.3</v>
      </c>
      <c r="H9" s="903"/>
      <c r="I9" s="901"/>
    </row>
    <row r="10" spans="6:9" ht="12.75">
      <c r="F10" s="905" t="s">
        <v>317</v>
      </c>
      <c r="G10" s="49"/>
      <c r="H10" s="49"/>
      <c r="I10" s="33"/>
    </row>
    <row r="11" spans="2:9" ht="12.75">
      <c r="B11" s="2" t="s">
        <v>1192</v>
      </c>
      <c r="F11" s="906">
        <v>70000</v>
      </c>
      <c r="G11" s="861"/>
      <c r="H11" s="861"/>
      <c r="I11" s="902">
        <f>SUM(F11:G11)</f>
        <v>70000</v>
      </c>
    </row>
    <row r="12" spans="2:9" ht="12.75">
      <c r="B12" s="2" t="s">
        <v>1193</v>
      </c>
      <c r="C12" s="61"/>
      <c r="D12" s="61"/>
      <c r="E12" s="73"/>
      <c r="F12" s="907">
        <v>-71259</v>
      </c>
      <c r="G12" s="861"/>
      <c r="H12" s="861"/>
      <c r="I12" s="902">
        <f>SUM(F12:G12)</f>
        <v>-71259</v>
      </c>
    </row>
    <row r="13" spans="2:9" ht="12.75">
      <c r="B13" s="2" t="s">
        <v>1194</v>
      </c>
      <c r="C13" s="61"/>
      <c r="D13" s="61"/>
      <c r="E13" s="863"/>
      <c r="F13" s="875">
        <f>SUM(F11:F12)</f>
        <v>-1259</v>
      </c>
      <c r="G13" s="864"/>
      <c r="H13" s="864"/>
      <c r="I13" s="912">
        <f>SUM(I11:I12)</f>
        <v>-1259</v>
      </c>
    </row>
    <row r="14" spans="3:9" ht="12.75">
      <c r="C14" s="61"/>
      <c r="D14" s="61"/>
      <c r="E14" s="49"/>
      <c r="F14" s="906"/>
      <c r="G14" s="861"/>
      <c r="H14" s="861"/>
      <c r="I14" s="33"/>
    </row>
    <row r="15" spans="2:9" ht="12.75">
      <c r="B15" s="2" t="s">
        <v>1199</v>
      </c>
      <c r="C15" s="61"/>
      <c r="D15" s="61"/>
      <c r="E15" s="61"/>
      <c r="F15" s="906"/>
      <c r="G15" s="861"/>
      <c r="H15" s="861"/>
      <c r="I15" s="33"/>
    </row>
    <row r="16" spans="2:9" ht="12.75">
      <c r="B16" s="12" t="s">
        <v>1200</v>
      </c>
      <c r="C16" s="61"/>
      <c r="D16" s="61"/>
      <c r="E16" s="61"/>
      <c r="F16" s="875">
        <f>21504.29*0.7</f>
        <v>15053.002999999999</v>
      </c>
      <c r="G16" s="864">
        <f>21504.29*0.3</f>
        <v>6451.287</v>
      </c>
      <c r="H16" s="864" t="s">
        <v>1231</v>
      </c>
      <c r="I16" s="912">
        <f>SUM(F16:G16)</f>
        <v>21504.29</v>
      </c>
    </row>
    <row r="17" spans="2:10" ht="12.75">
      <c r="B17" s="12" t="s">
        <v>1201</v>
      </c>
      <c r="C17" s="61"/>
      <c r="D17" s="61"/>
      <c r="E17" s="61"/>
      <c r="F17" s="876">
        <f>(-8519.31*0.7)</f>
        <v>-5963.516999999999</v>
      </c>
      <c r="G17" s="900">
        <f>-8519.31*0.3</f>
        <v>-2555.7929999999997</v>
      </c>
      <c r="H17" s="861" t="s">
        <v>1231</v>
      </c>
      <c r="I17" s="902">
        <f>SUM(F17:G17)</f>
        <v>-8519.309999999998</v>
      </c>
      <c r="J17" s="2" t="s">
        <v>1231</v>
      </c>
    </row>
    <row r="18" spans="2:9" ht="12.75">
      <c r="B18" s="12"/>
      <c r="C18" s="61"/>
      <c r="D18" s="61"/>
      <c r="E18" s="915" t="s">
        <v>1232</v>
      </c>
      <c r="F18" s="906">
        <f>SUM(F16:F17)</f>
        <v>9089.486</v>
      </c>
      <c r="G18" s="861">
        <f>SUM(G16:G17)</f>
        <v>3895.4940000000006</v>
      </c>
      <c r="H18" s="909"/>
      <c r="I18" s="913">
        <f>SUM(I16:I17)</f>
        <v>12984.980000000003</v>
      </c>
    </row>
    <row r="19" spans="2:9" ht="13.5" thickBot="1">
      <c r="B19" s="2" t="s">
        <v>1202</v>
      </c>
      <c r="C19" s="61"/>
      <c r="D19" s="61"/>
      <c r="E19" s="863"/>
      <c r="F19" s="908">
        <f>+F13-F18</f>
        <v>-10348.486</v>
      </c>
      <c r="G19" s="899">
        <f>-(+G13-G18)</f>
        <v>3895.4940000000006</v>
      </c>
      <c r="H19" s="899"/>
      <c r="I19" s="908">
        <f>+I13-I18</f>
        <v>-14243.980000000003</v>
      </c>
    </row>
    <row r="20" spans="3:9" ht="13.5" thickTop="1">
      <c r="C20" s="61"/>
      <c r="D20" s="61"/>
      <c r="E20" s="61"/>
      <c r="F20" s="876"/>
      <c r="G20" s="900"/>
      <c r="H20" s="900"/>
      <c r="I20" s="34"/>
    </row>
    <row r="21" spans="3:8" ht="12.75">
      <c r="C21" s="61"/>
      <c r="D21" s="61"/>
      <c r="E21" s="61"/>
      <c r="F21" s="861"/>
      <c r="G21" s="860"/>
      <c r="H21" s="860"/>
    </row>
    <row r="22" spans="6:8" ht="12.75">
      <c r="F22" s="860"/>
      <c r="G22" s="860"/>
      <c r="H22" s="860"/>
    </row>
    <row r="23" spans="2:8" ht="12.75">
      <c r="B23" s="873"/>
      <c r="C23" s="61"/>
      <c r="D23" s="61"/>
      <c r="E23" s="61"/>
      <c r="F23" s="861"/>
      <c r="G23" s="861"/>
      <c r="H23" s="861"/>
    </row>
    <row r="24" spans="2:8" ht="12.75">
      <c r="B24" s="61"/>
      <c r="C24" s="61"/>
      <c r="D24" s="61"/>
      <c r="E24" s="61"/>
      <c r="F24" s="874"/>
      <c r="G24" s="874"/>
      <c r="H24" s="874"/>
    </row>
    <row r="25" spans="1:5" ht="12.75">
      <c r="A25" s="49"/>
      <c r="B25" s="91"/>
      <c r="C25" s="91"/>
      <c r="D25" s="91"/>
      <c r="E25" s="49"/>
    </row>
    <row r="26" spans="1:9" ht="13.5" thickBot="1">
      <c r="A26" s="96"/>
      <c r="B26" s="97" t="s">
        <v>351</v>
      </c>
      <c r="C26" s="97" t="s">
        <v>975</v>
      </c>
      <c r="D26" s="862" t="s">
        <v>369</v>
      </c>
      <c r="E26" s="272" t="s">
        <v>976</v>
      </c>
      <c r="F26" s="273" t="s">
        <v>977</v>
      </c>
      <c r="G26" s="275" t="s">
        <v>4</v>
      </c>
      <c r="H26" s="914"/>
      <c r="I26" s="272" t="s">
        <v>568</v>
      </c>
    </row>
    <row r="27" spans="1:9" ht="12.75">
      <c r="A27" s="266" t="s">
        <v>1527</v>
      </c>
      <c r="B27" s="267">
        <v>0.445</v>
      </c>
      <c r="C27" s="49">
        <v>1400000</v>
      </c>
      <c r="D27" s="111">
        <f>(1-B27)*C27</f>
        <v>776999.9999999999</v>
      </c>
      <c r="E27" s="94">
        <v>1400000</v>
      </c>
      <c r="F27" s="77">
        <f>B27*C27</f>
        <v>623000</v>
      </c>
      <c r="G27" s="916">
        <v>0</v>
      </c>
      <c r="H27" s="917"/>
      <c r="I27" s="78">
        <v>0</v>
      </c>
    </row>
    <row r="28" spans="1:9" ht="12.75">
      <c r="A28" s="33"/>
      <c r="B28" s="268"/>
      <c r="C28" s="1"/>
      <c r="D28" s="111"/>
      <c r="E28" s="270"/>
      <c r="F28" s="77"/>
      <c r="G28" s="77"/>
      <c r="H28" s="78"/>
      <c r="I28" s="78"/>
    </row>
    <row r="29" spans="1:9" ht="12.75">
      <c r="A29" s="34"/>
      <c r="B29" s="269">
        <f aca="true" t="shared" si="1" ref="B29:G29">SUM(B27:B28)</f>
        <v>0.445</v>
      </c>
      <c r="C29" s="68">
        <f t="shared" si="1"/>
        <v>1400000</v>
      </c>
      <c r="D29" s="276">
        <f t="shared" si="1"/>
        <v>776999.9999999999</v>
      </c>
      <c r="E29" s="271">
        <f t="shared" si="1"/>
        <v>1400000</v>
      </c>
      <c r="F29" s="274">
        <f t="shared" si="1"/>
        <v>623000</v>
      </c>
      <c r="G29" s="80">
        <f t="shared" si="1"/>
        <v>0</v>
      </c>
      <c r="H29" s="81"/>
      <c r="I29" s="276">
        <f>SUM(I27:I28)</f>
        <v>0</v>
      </c>
    </row>
    <row r="30" ht="12.75"/>
    <row r="31" spans="6:9" ht="12.75">
      <c r="F31" s="23"/>
      <c r="G31" s="70"/>
      <c r="H31" s="70"/>
      <c r="I31" s="910"/>
    </row>
    <row r="32" spans="6:9" ht="12.75">
      <c r="F32" s="207" t="s">
        <v>318</v>
      </c>
      <c r="G32" s="165" t="s">
        <v>369</v>
      </c>
      <c r="H32" s="165"/>
      <c r="I32" s="911" t="s">
        <v>1444</v>
      </c>
    </row>
    <row r="33" spans="6:9" ht="12.75">
      <c r="F33" s="918">
        <v>0.445</v>
      </c>
      <c r="G33" s="919">
        <v>0.555</v>
      </c>
      <c r="H33" s="903"/>
      <c r="I33" s="901"/>
    </row>
    <row r="34" spans="6:9" ht="12.75">
      <c r="F34" s="905" t="s">
        <v>317</v>
      </c>
      <c r="G34" s="49"/>
      <c r="H34" s="49"/>
      <c r="I34" s="33"/>
    </row>
    <row r="35" spans="2:9" ht="12.75">
      <c r="B35" s="2" t="s">
        <v>1227</v>
      </c>
      <c r="F35" s="906">
        <v>1500000</v>
      </c>
      <c r="G35" s="861"/>
      <c r="H35" s="861"/>
      <c r="I35" s="902">
        <f>SUM(F35:G35)</f>
        <v>1500000</v>
      </c>
    </row>
    <row r="36" spans="2:9" ht="12.75">
      <c r="B36" s="2" t="s">
        <v>1228</v>
      </c>
      <c r="C36" s="61"/>
      <c r="D36" s="61"/>
      <c r="E36" s="73"/>
      <c r="F36" s="907">
        <f>-1400000/2</f>
        <v>-700000</v>
      </c>
      <c r="G36" s="861"/>
      <c r="H36" s="861"/>
      <c r="I36" s="902">
        <f>SUM(F36:G36)</f>
        <v>-700000</v>
      </c>
    </row>
    <row r="37" spans="2:9" ht="12.75">
      <c r="B37" s="2" t="s">
        <v>1528</v>
      </c>
      <c r="C37" s="61"/>
      <c r="D37" s="61"/>
      <c r="E37" s="863"/>
      <c r="F37" s="875">
        <f>SUM(F35:F36)</f>
        <v>800000</v>
      </c>
      <c r="G37" s="864"/>
      <c r="H37" s="864"/>
      <c r="I37" s="912">
        <f>SUM(I35:I36)</f>
        <v>800000</v>
      </c>
    </row>
    <row r="38" spans="3:9" ht="12.75">
      <c r="C38" s="61"/>
      <c r="D38" s="61"/>
      <c r="E38" s="49"/>
      <c r="F38" s="906"/>
      <c r="G38" s="861"/>
      <c r="H38" s="861"/>
      <c r="I38" s="33"/>
    </row>
    <row r="39" spans="2:9" ht="12.75">
      <c r="B39" s="2" t="s">
        <v>1531</v>
      </c>
      <c r="C39" s="61"/>
      <c r="D39" s="61"/>
      <c r="E39" s="61"/>
      <c r="F39" s="906"/>
      <c r="G39" s="861"/>
      <c r="H39" s="861"/>
      <c r="I39" s="33"/>
    </row>
    <row r="40" spans="2:10" ht="12.75">
      <c r="B40" s="12" t="s">
        <v>1222</v>
      </c>
      <c r="C40" s="61"/>
      <c r="D40" s="61"/>
      <c r="E40" s="61"/>
      <c r="F40" s="875">
        <f>-1664622.53*0.445</f>
        <v>-740757.02585</v>
      </c>
      <c r="G40" s="864">
        <f>-1664622.53*0.555</f>
        <v>-923865.50415</v>
      </c>
      <c r="H40" s="864"/>
      <c r="I40" s="912">
        <f>SUM(F40:G40)</f>
        <v>-1664622.53</v>
      </c>
      <c r="J40" s="2" t="s">
        <v>1225</v>
      </c>
    </row>
    <row r="41" spans="2:10" ht="12.75">
      <c r="B41" s="12" t="s">
        <v>1223</v>
      </c>
      <c r="C41" s="61"/>
      <c r="D41" s="61"/>
      <c r="E41" s="61"/>
      <c r="F41" s="876">
        <f>(-64737.6*0.445)</f>
        <v>-28808.232</v>
      </c>
      <c r="G41" s="900">
        <f>-64737.6*0.555</f>
        <v>-35929.368</v>
      </c>
      <c r="H41" s="861"/>
      <c r="I41" s="902">
        <f>SUM(F41:G41)</f>
        <v>-64737.600000000006</v>
      </c>
      <c r="J41" s="2" t="s">
        <v>1224</v>
      </c>
    </row>
    <row r="42" spans="2:9" ht="12.75">
      <c r="B42" s="12"/>
      <c r="C42" s="61"/>
      <c r="D42" s="61"/>
      <c r="E42" s="915" t="s">
        <v>1225</v>
      </c>
      <c r="F42" s="906">
        <f>SUM(F40:F41)</f>
        <v>-769565.2578499999</v>
      </c>
      <c r="G42" s="861">
        <f>SUM(G40:G41)</f>
        <v>-959794.8721500001</v>
      </c>
      <c r="H42" s="909"/>
      <c r="I42" s="913">
        <f>SUM(I40:I41)</f>
        <v>-1729360.1300000001</v>
      </c>
    </row>
    <row r="43" spans="2:9" ht="13.5" thickBot="1">
      <c r="B43" s="2" t="s">
        <v>1229</v>
      </c>
      <c r="C43" s="61"/>
      <c r="D43" s="61"/>
      <c r="E43" s="863"/>
      <c r="F43" s="908">
        <f>+F37-F42</f>
        <v>1569565.25785</v>
      </c>
      <c r="G43" s="908">
        <f>+G37-G42</f>
        <v>959794.8721500001</v>
      </c>
      <c r="H43" s="899"/>
      <c r="I43" s="908">
        <f>+I37-I42</f>
        <v>2529360.13</v>
      </c>
    </row>
    <row r="44" spans="3:9" ht="13.5" thickTop="1">
      <c r="C44" s="61"/>
      <c r="D44" s="61"/>
      <c r="E44" s="61"/>
      <c r="F44" s="876"/>
      <c r="G44" s="900"/>
      <c r="H44" s="900"/>
      <c r="I44" s="34"/>
    </row>
    <row r="45" spans="3:8" ht="12.75">
      <c r="C45" s="61"/>
      <c r="D45" s="61"/>
      <c r="E45" s="61"/>
      <c r="F45" s="861"/>
      <c r="G45" s="860"/>
      <c r="H45" s="860"/>
    </row>
    <row r="46" spans="2:6" ht="13.5" thickBot="1">
      <c r="B46" s="2" t="s">
        <v>1229</v>
      </c>
      <c r="F46" s="920">
        <f>+F19+F43</f>
        <v>1559216.77185</v>
      </c>
    </row>
    <row r="47" ht="13.5" thickTop="1">
      <c r="F47" s="861"/>
    </row>
    <row r="48" ht="12.75">
      <c r="F48" s="861"/>
    </row>
    <row r="51" spans="1:10" ht="12.75">
      <c r="A51" s="962" t="s">
        <v>654</v>
      </c>
      <c r="B51" s="24"/>
      <c r="C51" s="24"/>
      <c r="D51" s="24"/>
      <c r="E51" s="24"/>
      <c r="F51" s="24"/>
      <c r="G51" s="24"/>
      <c r="H51" s="24"/>
      <c r="I51" s="24"/>
      <c r="J51" s="262"/>
    </row>
    <row r="52" spans="1:10" ht="12.75">
      <c r="A52" s="963"/>
      <c r="B52" s="61"/>
      <c r="C52" s="61"/>
      <c r="D52" s="61"/>
      <c r="E52" s="61"/>
      <c r="F52" s="73" t="s">
        <v>365</v>
      </c>
      <c r="G52" s="73" t="s">
        <v>366</v>
      </c>
      <c r="H52" s="61"/>
      <c r="I52" s="61"/>
      <c r="J52" s="76"/>
    </row>
    <row r="53" spans="1:10" ht="12.75">
      <c r="A53" s="75"/>
      <c r="B53" s="61"/>
      <c r="C53" s="61"/>
      <c r="D53" s="61"/>
      <c r="E53" s="61"/>
      <c r="F53" s="73" t="s">
        <v>317</v>
      </c>
      <c r="G53" s="73" t="s">
        <v>317</v>
      </c>
      <c r="H53" s="61"/>
      <c r="I53" s="61"/>
      <c r="J53" s="76"/>
    </row>
    <row r="54" spans="1:10" ht="12.75">
      <c r="A54" s="963" t="s">
        <v>102</v>
      </c>
      <c r="B54" s="61"/>
      <c r="C54" s="61"/>
      <c r="D54" s="61"/>
      <c r="E54" s="61"/>
      <c r="F54" s="61"/>
      <c r="G54" s="61"/>
      <c r="H54" s="61"/>
      <c r="I54" s="61"/>
      <c r="J54" s="76"/>
    </row>
    <row r="55" spans="1:10" ht="12.75">
      <c r="A55" s="75" t="s">
        <v>655</v>
      </c>
      <c r="B55" s="61"/>
      <c r="C55" s="61"/>
      <c r="D55" s="61"/>
      <c r="E55" s="61"/>
      <c r="F55" s="861">
        <f>-+I40</f>
        <v>1664622.53</v>
      </c>
      <c r="G55" s="861"/>
      <c r="H55" s="61"/>
      <c r="I55" s="61"/>
      <c r="J55" s="76"/>
    </row>
    <row r="56" spans="1:10" ht="12.75">
      <c r="A56" s="75" t="s">
        <v>1499</v>
      </c>
      <c r="B56" s="61"/>
      <c r="C56" s="61"/>
      <c r="D56" s="61"/>
      <c r="E56" s="61"/>
      <c r="F56" s="861">
        <f>-+I41</f>
        <v>64737.600000000006</v>
      </c>
      <c r="G56" s="861"/>
      <c r="H56" s="61"/>
      <c r="I56" s="61"/>
      <c r="J56" s="76"/>
    </row>
    <row r="57" spans="1:10" ht="12.75">
      <c r="A57" s="75" t="s">
        <v>656</v>
      </c>
      <c r="B57" s="61"/>
      <c r="C57" s="61"/>
      <c r="D57" s="61"/>
      <c r="E57" s="61"/>
      <c r="F57" s="861"/>
      <c r="G57" s="861">
        <f>-F42</f>
        <v>769565.2578499999</v>
      </c>
      <c r="H57" s="61"/>
      <c r="I57" s="61"/>
      <c r="J57" s="76"/>
    </row>
    <row r="58" spans="1:10" ht="12.75">
      <c r="A58" s="75" t="s">
        <v>657</v>
      </c>
      <c r="B58" s="61"/>
      <c r="C58" s="61"/>
      <c r="D58" s="61"/>
      <c r="E58" s="61"/>
      <c r="F58" s="861"/>
      <c r="G58" s="861">
        <v>499387</v>
      </c>
      <c r="H58" s="61"/>
      <c r="I58" s="61"/>
      <c r="J58" s="76"/>
    </row>
    <row r="59" spans="1:10" ht="12.75">
      <c r="A59" s="75" t="s">
        <v>658</v>
      </c>
      <c r="B59" s="61"/>
      <c r="C59" s="61"/>
      <c r="D59" s="61"/>
      <c r="E59" s="61"/>
      <c r="F59" s="861"/>
      <c r="G59" s="861">
        <v>19421</v>
      </c>
      <c r="H59" s="61"/>
      <c r="I59" s="61"/>
      <c r="J59" s="76"/>
    </row>
    <row r="60" spans="1:10" ht="12.75">
      <c r="A60" s="75" t="s">
        <v>659</v>
      </c>
      <c r="B60" s="61"/>
      <c r="C60" s="61"/>
      <c r="D60" s="61"/>
      <c r="E60" s="61"/>
      <c r="F60" s="861"/>
      <c r="G60" s="861">
        <v>460408</v>
      </c>
      <c r="H60" s="61"/>
      <c r="I60" s="61"/>
      <c r="J60" s="76"/>
    </row>
    <row r="61" spans="1:10" ht="12.75">
      <c r="A61" s="75" t="s">
        <v>625</v>
      </c>
      <c r="B61" s="61"/>
      <c r="C61" s="61"/>
      <c r="D61" s="61"/>
      <c r="E61" s="61"/>
      <c r="F61" s="861">
        <v>19421</v>
      </c>
      <c r="G61" s="861"/>
      <c r="H61" s="61"/>
      <c r="I61" s="61"/>
      <c r="J61" s="76"/>
    </row>
    <row r="62" spans="1:10" ht="13.5" thickBot="1">
      <c r="A62" s="75"/>
      <c r="B62" s="61"/>
      <c r="C62" s="61"/>
      <c r="D62" s="61"/>
      <c r="E62" s="61"/>
      <c r="F62" s="899">
        <f>SUM(F54:F61)</f>
        <v>1748781.1300000001</v>
      </c>
      <c r="G62" s="899">
        <f>SUM(G57:G61)</f>
        <v>1748781.25785</v>
      </c>
      <c r="H62" s="61"/>
      <c r="I62" s="61"/>
      <c r="J62" s="76"/>
    </row>
    <row r="63" spans="1:10" ht="13.5" thickTop="1">
      <c r="A63" s="75" t="s">
        <v>662</v>
      </c>
      <c r="B63" s="61"/>
      <c r="C63" s="61"/>
      <c r="D63" s="61"/>
      <c r="E63" s="61"/>
      <c r="F63" s="861"/>
      <c r="G63" s="861"/>
      <c r="H63" s="61"/>
      <c r="I63" s="61"/>
      <c r="J63" s="76"/>
    </row>
    <row r="64" spans="1:10" ht="12.75">
      <c r="A64" s="75"/>
      <c r="B64" s="61"/>
      <c r="C64" s="61"/>
      <c r="D64" s="61"/>
      <c r="E64" s="61"/>
      <c r="F64" s="861"/>
      <c r="G64" s="861"/>
      <c r="H64" s="61"/>
      <c r="I64" s="61"/>
      <c r="J64" s="76"/>
    </row>
    <row r="65" spans="1:10" ht="12.75">
      <c r="A65" s="75"/>
      <c r="B65" s="61"/>
      <c r="C65" s="61"/>
      <c r="D65" s="61"/>
      <c r="E65" s="61"/>
      <c r="F65" s="861"/>
      <c r="G65" s="861"/>
      <c r="H65" s="61"/>
      <c r="I65" s="61"/>
      <c r="J65" s="76"/>
    </row>
    <row r="66" spans="1:10" ht="12.75">
      <c r="A66" s="963" t="s">
        <v>1203</v>
      </c>
      <c r="B66" s="61"/>
      <c r="C66" s="61"/>
      <c r="D66" s="61"/>
      <c r="E66" s="61"/>
      <c r="F66" s="861"/>
      <c r="G66" s="861"/>
      <c r="H66" s="61"/>
      <c r="I66" s="61"/>
      <c r="J66" s="76"/>
    </row>
    <row r="67" spans="1:10" ht="12.75">
      <c r="A67" s="75" t="s">
        <v>1483</v>
      </c>
      <c r="B67" s="61"/>
      <c r="C67" s="61"/>
      <c r="D67" s="61"/>
      <c r="E67" s="61"/>
      <c r="F67" s="861"/>
      <c r="G67" s="861">
        <f>+I16</f>
        <v>21504.29</v>
      </c>
      <c r="H67" s="61"/>
      <c r="I67" s="61"/>
      <c r="J67" s="76"/>
    </row>
    <row r="68" spans="1:10" ht="12.75">
      <c r="A68" s="75" t="s">
        <v>1499</v>
      </c>
      <c r="B68" s="61"/>
      <c r="C68" s="61"/>
      <c r="D68" s="61"/>
      <c r="E68" s="61"/>
      <c r="F68" s="861">
        <f>-+I17</f>
        <v>8519.309999999998</v>
      </c>
      <c r="G68" s="861"/>
      <c r="H68" s="61"/>
      <c r="I68" s="61"/>
      <c r="J68" s="76"/>
    </row>
    <row r="69" spans="1:10" ht="12.75">
      <c r="A69" s="75" t="s">
        <v>0</v>
      </c>
      <c r="B69" s="61"/>
      <c r="C69" s="61"/>
      <c r="D69" s="61"/>
      <c r="E69" s="61"/>
      <c r="F69" s="861">
        <f>F18</f>
        <v>9089.486</v>
      </c>
      <c r="G69" s="861"/>
      <c r="H69" s="61"/>
      <c r="I69" s="61"/>
      <c r="J69" s="76"/>
    </row>
    <row r="70" spans="1:10" ht="12.75">
      <c r="A70" s="75" t="s">
        <v>657</v>
      </c>
      <c r="B70" s="61"/>
      <c r="C70" s="61"/>
      <c r="D70" s="61"/>
      <c r="E70" s="61"/>
      <c r="F70" s="861">
        <f>+G16</f>
        <v>6451.287</v>
      </c>
      <c r="G70" s="861"/>
      <c r="H70" s="61"/>
      <c r="I70" s="61"/>
      <c r="J70" s="76"/>
    </row>
    <row r="71" spans="1:10" ht="12.75">
      <c r="A71" s="75" t="s">
        <v>660</v>
      </c>
      <c r="B71" s="61"/>
      <c r="C71" s="61"/>
      <c r="D71" s="61"/>
      <c r="E71" s="61"/>
      <c r="F71" s="861"/>
      <c r="G71" s="861">
        <f>-+G17</f>
        <v>2555.7929999999997</v>
      </c>
      <c r="H71" s="61"/>
      <c r="I71" s="61"/>
      <c r="J71" s="76"/>
    </row>
    <row r="72" spans="1:10" ht="13.5" thickBot="1">
      <c r="A72" s="75"/>
      <c r="B72" s="61"/>
      <c r="C72" s="61"/>
      <c r="D72" s="61"/>
      <c r="E72" s="61"/>
      <c r="F72" s="899">
        <f>SUM(F68:F71)</f>
        <v>24060.083</v>
      </c>
      <c r="G72" s="899">
        <f>SUM(G67:G71)</f>
        <v>24060.083</v>
      </c>
      <c r="H72" s="61"/>
      <c r="I72" s="61"/>
      <c r="J72" s="76"/>
    </row>
    <row r="73" spans="1:10" ht="13.5" thickTop="1">
      <c r="A73" s="75" t="s">
        <v>661</v>
      </c>
      <c r="B73" s="61"/>
      <c r="C73" s="61"/>
      <c r="D73" s="61"/>
      <c r="E73" s="61"/>
      <c r="F73" s="861"/>
      <c r="G73" s="861"/>
      <c r="H73" s="61"/>
      <c r="I73" s="61"/>
      <c r="J73" s="76"/>
    </row>
    <row r="74" spans="1:10" ht="12.75">
      <c r="A74" s="25"/>
      <c r="B74" s="26"/>
      <c r="C74" s="26"/>
      <c r="D74" s="26"/>
      <c r="E74" s="26"/>
      <c r="F74" s="900"/>
      <c r="G74" s="900"/>
      <c r="H74" s="26"/>
      <c r="I74" s="26"/>
      <c r="J74" s="263"/>
    </row>
    <row r="75" spans="6:7" ht="12.75">
      <c r="F75" s="860"/>
      <c r="G75" s="860"/>
    </row>
    <row r="76" spans="6:7" ht="12.75">
      <c r="F76" s="860"/>
      <c r="G76" s="860"/>
    </row>
    <row r="77" spans="6:7" ht="12.75">
      <c r="F77" s="860"/>
      <c r="G77" s="860"/>
    </row>
    <row r="78" spans="6:7" ht="12.75">
      <c r="F78" s="860"/>
      <c r="G78" s="860"/>
    </row>
    <row r="79" spans="6:7" ht="12.75">
      <c r="F79" s="860"/>
      <c r="G79" s="860"/>
    </row>
    <row r="80" spans="6:7" ht="12.75">
      <c r="F80" s="860"/>
      <c r="G80" s="860"/>
    </row>
  </sheetData>
  <printOptions/>
  <pageMargins left="0.75" right="0.75" top="1" bottom="1" header="0.5" footer="0.5"/>
  <pageSetup fitToHeight="1" fitToWidth="1" horizontalDpi="300" verticalDpi="300" orientation="portrait" paperSize="9" scale="63" r:id="rId3"/>
  <headerFooter alignWithMargins="0">
    <oddHeader>&amp;R&amp;D &amp;T</oddHeader>
  </headerFooter>
  <legacyDrawing r:id="rId2"/>
</worksheet>
</file>

<file path=xl/worksheets/sheet32.xml><?xml version="1.0" encoding="utf-8"?>
<worksheet xmlns="http://schemas.openxmlformats.org/spreadsheetml/2006/main" xmlns:r="http://schemas.openxmlformats.org/officeDocument/2006/relationships">
  <dimension ref="A1:L84"/>
  <sheetViews>
    <sheetView workbookViewId="0" topLeftCell="A1">
      <pane xSplit="1" ySplit="3" topLeftCell="C42" activePane="bottomRight" state="frozen"/>
      <selection pane="topLeft" activeCell="A1" sqref="A1"/>
      <selection pane="topRight" activeCell="B1" sqref="B1"/>
      <selection pane="bottomLeft" activeCell="A4" sqref="A4"/>
      <selection pane="bottomRight" activeCell="D57" sqref="D57"/>
    </sheetView>
  </sheetViews>
  <sheetFormatPr defaultColWidth="9.140625" defaultRowHeight="12.75"/>
  <cols>
    <col min="1" max="1" width="72.28125" style="0" customWidth="1"/>
    <col min="2" max="2" width="16.00390625" style="0" customWidth="1"/>
    <col min="3" max="3" width="15.57421875" style="0" customWidth="1"/>
    <col min="4" max="4" width="16.57421875" style="0" customWidth="1"/>
    <col min="5" max="5" width="16.00390625" style="0" customWidth="1"/>
    <col min="6" max="6" width="1.7109375" style="0" customWidth="1"/>
    <col min="7" max="7" width="30.28125" style="0" customWidth="1"/>
    <col min="8" max="8" width="13.7109375" style="0" customWidth="1"/>
    <col min="9" max="9" width="12.7109375" style="0" customWidth="1"/>
    <col min="10" max="10" width="14.00390625" style="0" bestFit="1" customWidth="1"/>
    <col min="11" max="11" width="14.00390625" style="0" customWidth="1"/>
    <col min="12" max="12" width="15.140625" style="0" customWidth="1"/>
  </cols>
  <sheetData>
    <row r="1" spans="1:8" ht="12.75">
      <c r="A1" s="388" t="s">
        <v>681</v>
      </c>
      <c r="G1" s="95"/>
      <c r="H1" s="95"/>
    </row>
    <row r="2" spans="5:8" ht="12.75">
      <c r="E2" s="1029"/>
      <c r="G2" s="1135"/>
      <c r="H2" s="1135"/>
    </row>
    <row r="3" spans="1:8" ht="12.75">
      <c r="A3" s="388" t="s">
        <v>684</v>
      </c>
      <c r="G3" s="95"/>
      <c r="H3" s="95"/>
    </row>
    <row r="4" spans="1:12" ht="12.75">
      <c r="A4" s="1010"/>
      <c r="B4" s="1011" t="s">
        <v>318</v>
      </c>
      <c r="C4" s="1011" t="s">
        <v>518</v>
      </c>
      <c r="D4" s="1011" t="s">
        <v>558</v>
      </c>
      <c r="E4" s="1011" t="s">
        <v>329</v>
      </c>
      <c r="G4" s="1046"/>
      <c r="H4" s="1047" t="s">
        <v>318</v>
      </c>
      <c r="I4" s="1047" t="s">
        <v>518</v>
      </c>
      <c r="J4" s="1047" t="s">
        <v>558</v>
      </c>
      <c r="K4" s="1048" t="s">
        <v>329</v>
      </c>
      <c r="L4" s="1055" t="s">
        <v>1033</v>
      </c>
    </row>
    <row r="5" spans="2:11" ht="12.75">
      <c r="B5" s="1011" t="s">
        <v>317</v>
      </c>
      <c r="C5" s="1011" t="s">
        <v>317</v>
      </c>
      <c r="D5" s="1011" t="s">
        <v>317</v>
      </c>
      <c r="E5" s="1011" t="s">
        <v>317</v>
      </c>
      <c r="G5" s="1049"/>
      <c r="H5" s="1050" t="s">
        <v>317</v>
      </c>
      <c r="I5" s="1050" t="s">
        <v>317</v>
      </c>
      <c r="J5" s="1050" t="s">
        <v>317</v>
      </c>
      <c r="K5" s="1043" t="s">
        <v>317</v>
      </c>
    </row>
    <row r="6" spans="2:11" ht="12.75">
      <c r="B6" s="1012"/>
      <c r="C6" s="1013"/>
      <c r="D6" s="1013"/>
      <c r="E6" s="1013"/>
      <c r="F6" s="1013"/>
      <c r="G6" s="1051"/>
      <c r="H6" s="1052"/>
      <c r="I6" s="1031"/>
      <c r="J6" s="1031"/>
      <c r="K6" s="1034"/>
    </row>
    <row r="7" spans="1:11" ht="12.75">
      <c r="A7" t="s">
        <v>563</v>
      </c>
      <c r="B7" s="1013"/>
      <c r="C7" s="1013"/>
      <c r="D7" s="1013"/>
      <c r="E7" s="1013"/>
      <c r="F7" s="1013"/>
      <c r="G7" s="1033"/>
      <c r="H7" s="1031"/>
      <c r="I7" s="1031"/>
      <c r="J7" s="1031"/>
      <c r="K7" s="1034"/>
    </row>
    <row r="8" spans="1:12" ht="12.75">
      <c r="A8" t="s">
        <v>683</v>
      </c>
      <c r="B8" s="1013">
        <f>+'B. Sheet'!K15*1000</f>
        <v>27984581.69</v>
      </c>
      <c r="C8" s="1013"/>
      <c r="D8" s="1013"/>
      <c r="E8" s="1013">
        <f>SUM(B8:D8)</f>
        <v>27984581.69</v>
      </c>
      <c r="F8" s="1013"/>
      <c r="G8" s="1033" t="s">
        <v>1415</v>
      </c>
      <c r="H8" s="1031">
        <v>27800612</v>
      </c>
      <c r="I8" s="1031"/>
      <c r="J8" s="1031"/>
      <c r="K8" s="1034">
        <f>SUM(H8:J8)</f>
        <v>27800612</v>
      </c>
      <c r="L8" s="1013">
        <f>+E8-K8</f>
        <v>183969.69000000134</v>
      </c>
    </row>
    <row r="9" spans="1:12" ht="12.75">
      <c r="A9" t="s">
        <v>1418</v>
      </c>
      <c r="B9" s="1013"/>
      <c r="C9" s="1013">
        <f>+'B. Sheet'!M15*1000</f>
        <v>-4803241</v>
      </c>
      <c r="D9" s="1013"/>
      <c r="E9" s="1013">
        <f aca="true" t="shared" si="0" ref="E9:E16">SUM(B9:D9)</f>
        <v>-4803241</v>
      </c>
      <c r="F9" s="1013"/>
      <c r="G9" s="1033" t="s">
        <v>1420</v>
      </c>
      <c r="H9" s="1031"/>
      <c r="I9" s="1031">
        <v>-3399399</v>
      </c>
      <c r="J9" s="1031"/>
      <c r="K9" s="1034">
        <f>SUM(H9:J9)</f>
        <v>-3399399</v>
      </c>
      <c r="L9" s="1013">
        <f>+E9-K9</f>
        <v>-1403842</v>
      </c>
    </row>
    <row r="10" spans="2:11" ht="12.75">
      <c r="B10" s="1013"/>
      <c r="C10" s="1013"/>
      <c r="D10" s="1013"/>
      <c r="E10" s="1013"/>
      <c r="F10" s="1013"/>
      <c r="G10" s="1033"/>
      <c r="H10" s="1031"/>
      <c r="I10" s="1031"/>
      <c r="J10" s="1031"/>
      <c r="K10" s="1034"/>
    </row>
    <row r="11" spans="1:12" ht="12.75">
      <c r="A11" t="s">
        <v>682</v>
      </c>
      <c r="B11" s="1013">
        <f>+'B. Sheet'!K16*1000</f>
        <v>-33056910.000000004</v>
      </c>
      <c r="C11" s="1013"/>
      <c r="D11" s="1013"/>
      <c r="E11" s="1013">
        <f t="shared" si="0"/>
        <v>-33056910.000000004</v>
      </c>
      <c r="F11" s="1013"/>
      <c r="G11" s="1033"/>
      <c r="H11" s="1031">
        <v>-33056910</v>
      </c>
      <c r="I11" s="1031"/>
      <c r="J11" s="1031"/>
      <c r="K11" s="1034">
        <f>SUM(H11:J11)</f>
        <v>-33056910</v>
      </c>
      <c r="L11" s="1013">
        <f>+E11-K11</f>
        <v>0</v>
      </c>
    </row>
    <row r="12" spans="2:11" ht="12.75">
      <c r="B12" s="1013"/>
      <c r="C12" s="1013"/>
      <c r="D12" s="1013"/>
      <c r="E12" s="1013"/>
      <c r="F12" s="1013"/>
      <c r="G12" s="1033"/>
      <c r="H12" s="1031"/>
      <c r="I12" s="1031"/>
      <c r="J12" s="1031"/>
      <c r="K12" s="1034"/>
    </row>
    <row r="13" spans="1:12" ht="12.75">
      <c r="A13" t="s">
        <v>1214</v>
      </c>
      <c r="B13" s="1013">
        <f>+'B. Sheet'!K17*1000</f>
        <v>0</v>
      </c>
      <c r="C13" s="1013"/>
      <c r="D13" s="1013"/>
      <c r="E13" s="1013">
        <f t="shared" si="0"/>
        <v>0</v>
      </c>
      <c r="F13" s="1013"/>
      <c r="G13" s="1033"/>
      <c r="H13" s="1031">
        <v>-17045134</v>
      </c>
      <c r="I13" s="1031"/>
      <c r="J13" s="1031"/>
      <c r="K13" s="1034">
        <f>SUM(H13:J13)</f>
        <v>-17045134</v>
      </c>
      <c r="L13" s="1013">
        <f>+E13-K13</f>
        <v>17045134</v>
      </c>
    </row>
    <row r="14" spans="2:11" ht="12.75">
      <c r="B14" s="1013"/>
      <c r="C14" s="1013"/>
      <c r="D14" s="1013"/>
      <c r="E14" s="1013"/>
      <c r="F14" s="1013"/>
      <c r="G14" s="1033"/>
      <c r="H14" s="1031"/>
      <c r="I14" s="1031"/>
      <c r="J14" s="1031"/>
      <c r="K14" s="1034"/>
    </row>
    <row r="15" spans="1:12" ht="12.75">
      <c r="A15" t="s">
        <v>1188</v>
      </c>
      <c r="B15" s="1013"/>
      <c r="C15" s="1013"/>
      <c r="D15" s="1013">
        <f>+'B. Sheet'!R18*1000</f>
        <v>2694061</v>
      </c>
      <c r="E15" s="1013">
        <f t="shared" si="0"/>
        <v>2694061</v>
      </c>
      <c r="F15" s="1013"/>
      <c r="G15" s="1033"/>
      <c r="H15" s="1031">
        <v>0</v>
      </c>
      <c r="I15" s="1031"/>
      <c r="J15" s="1031">
        <v>2694061</v>
      </c>
      <c r="K15" s="1034">
        <f>SUM(H15:J15)</f>
        <v>2694061</v>
      </c>
      <c r="L15" s="1013">
        <f>+E15-K15</f>
        <v>0</v>
      </c>
    </row>
    <row r="16" spans="1:12" ht="12.75">
      <c r="A16" t="s">
        <v>1419</v>
      </c>
      <c r="B16" s="1013">
        <f>+'B. Sheet'!K18*1000</f>
        <v>88582958</v>
      </c>
      <c r="C16" s="1013">
        <f>+'B. Sheet'!M18*1000</f>
        <v>1156000</v>
      </c>
      <c r="D16" s="1013"/>
      <c r="E16" s="1013">
        <f t="shared" si="0"/>
        <v>89738958</v>
      </c>
      <c r="F16" s="1013"/>
      <c r="G16" s="1033" t="s">
        <v>1421</v>
      </c>
      <c r="H16" s="1031">
        <v>21719609</v>
      </c>
      <c r="I16" s="1031">
        <v>1156000</v>
      </c>
      <c r="J16" s="1031"/>
      <c r="K16" s="1034">
        <f>SUM(H16:J16)</f>
        <v>22875609</v>
      </c>
      <c r="L16" s="1013">
        <f>+E16-K16</f>
        <v>66863349</v>
      </c>
    </row>
    <row r="17" spans="1:12" ht="12.75">
      <c r="A17" s="1015" t="s">
        <v>182</v>
      </c>
      <c r="B17" s="1013"/>
      <c r="C17" s="1013"/>
      <c r="D17" s="1013"/>
      <c r="E17" s="1013"/>
      <c r="F17" s="1013"/>
      <c r="G17" s="1033"/>
      <c r="H17" s="1031"/>
      <c r="I17" s="1031"/>
      <c r="J17" s="1031"/>
      <c r="K17" s="1034"/>
      <c r="L17" s="1013"/>
    </row>
    <row r="18" spans="1:11" ht="12.75">
      <c r="A18" t="s">
        <v>329</v>
      </c>
      <c r="B18" s="1014">
        <f>SUM(B8:B16)</f>
        <v>83510629.69</v>
      </c>
      <c r="C18" s="1014">
        <f>SUM(C8:C16)</f>
        <v>-3647241</v>
      </c>
      <c r="D18" s="1014">
        <f>SUM(D8:D16)</f>
        <v>2694061</v>
      </c>
      <c r="E18" s="1014">
        <f>SUM(E8:E16)</f>
        <v>82557449.69</v>
      </c>
      <c r="F18" s="1013"/>
      <c r="G18" s="1033"/>
      <c r="H18" s="1014">
        <f>SUM(H8:H16)</f>
        <v>-581823</v>
      </c>
      <c r="I18" s="1014">
        <f>SUM(I8:I16)</f>
        <v>-2243399</v>
      </c>
      <c r="J18" s="1014">
        <f>SUM(J8:J16)</f>
        <v>2694061</v>
      </c>
      <c r="K18" s="1035">
        <f>SUM(K8:K16)</f>
        <v>-131161</v>
      </c>
    </row>
    <row r="19" spans="2:11" ht="12.75">
      <c r="B19" s="1013"/>
      <c r="C19" s="1013"/>
      <c r="D19" s="1013"/>
      <c r="E19" s="1013"/>
      <c r="F19" s="1013"/>
      <c r="G19" s="1033"/>
      <c r="H19" s="1031"/>
      <c r="I19" s="1031"/>
      <c r="J19" s="1031"/>
      <c r="K19" s="1034"/>
    </row>
    <row r="20" spans="1:12" ht="12.75">
      <c r="A20" t="s">
        <v>726</v>
      </c>
      <c r="B20" s="1013"/>
      <c r="C20" s="1013"/>
      <c r="D20" s="1013"/>
      <c r="E20" s="1013">
        <f>+je!C166</f>
        <v>13997631</v>
      </c>
      <c r="F20" s="1013"/>
      <c r="G20" s="1033"/>
      <c r="H20" s="1031"/>
      <c r="I20" s="1031"/>
      <c r="J20" s="1031"/>
      <c r="K20" s="1034">
        <v>13997631</v>
      </c>
      <c r="L20" s="1013">
        <f>+E20-K20</f>
        <v>0</v>
      </c>
    </row>
    <row r="21" spans="2:11" ht="12.75">
      <c r="B21" s="1013"/>
      <c r="C21" s="1013"/>
      <c r="D21" s="1013"/>
      <c r="E21" s="1013"/>
      <c r="F21" s="1013"/>
      <c r="G21" s="1033"/>
      <c r="H21" s="1031"/>
      <c r="I21" s="1031"/>
      <c r="J21" s="1031"/>
      <c r="K21" s="1034"/>
    </row>
    <row r="22" spans="1:11" ht="12.75">
      <c r="A22" s="1016" t="s">
        <v>685</v>
      </c>
      <c r="B22" s="1013"/>
      <c r="C22" s="1013"/>
      <c r="D22" s="1013"/>
      <c r="E22" s="1013"/>
      <c r="F22" s="1013"/>
      <c r="G22" s="1033"/>
      <c r="H22" s="1031"/>
      <c r="I22" s="1031"/>
      <c r="J22" s="1031"/>
      <c r="K22" s="1034"/>
    </row>
    <row r="23" spans="1:12" ht="12.75">
      <c r="A23" s="1015" t="s">
        <v>686</v>
      </c>
      <c r="B23" s="1013"/>
      <c r="C23" s="1013"/>
      <c r="D23" s="1013">
        <f>+je!I9</f>
        <v>-25391784.000000004</v>
      </c>
      <c r="E23" s="1013"/>
      <c r="F23" s="1013"/>
      <c r="G23" s="1033"/>
      <c r="H23" s="1031"/>
      <c r="I23" s="1031"/>
      <c r="J23" s="1031">
        <v>-25391784</v>
      </c>
      <c r="K23" s="1034"/>
      <c r="L23" s="1013">
        <f>+D23-J23</f>
        <v>0</v>
      </c>
    </row>
    <row r="24" spans="1:12" ht="12.75">
      <c r="A24" s="1015" t="s">
        <v>687</v>
      </c>
      <c r="B24" s="1013"/>
      <c r="C24" s="1013"/>
      <c r="D24" s="1013">
        <f>+je!I14</f>
        <v>-3265000</v>
      </c>
      <c r="E24" s="1013"/>
      <c r="F24" s="1013"/>
      <c r="G24" s="1033"/>
      <c r="H24" s="1031"/>
      <c r="I24" s="1031"/>
      <c r="J24" s="1031">
        <v>-3265000</v>
      </c>
      <c r="K24" s="1034"/>
      <c r="L24" s="1013">
        <f aca="true" t="shared" si="1" ref="L24:L32">+D24-J24</f>
        <v>0</v>
      </c>
    </row>
    <row r="25" spans="1:12" ht="12.75">
      <c r="A25" s="1015" t="s">
        <v>688</v>
      </c>
      <c r="B25" s="1013"/>
      <c r="C25" s="1013"/>
      <c r="D25" s="1013">
        <f>+je!I75</f>
        <v>-41982212.69</v>
      </c>
      <c r="E25" s="1013"/>
      <c r="F25" s="1013"/>
      <c r="G25" s="1033"/>
      <c r="H25" s="1031"/>
      <c r="I25" s="1031"/>
      <c r="J25" s="1031">
        <v>-41798243</v>
      </c>
      <c r="K25" s="1034"/>
      <c r="L25" s="1013">
        <f t="shared" si="1"/>
        <v>-183969.68999999762</v>
      </c>
    </row>
    <row r="26" spans="1:12" ht="12.75">
      <c r="A26" s="1015" t="s">
        <v>689</v>
      </c>
      <c r="B26" s="1013"/>
      <c r="C26" s="1013"/>
      <c r="D26" s="1013">
        <f>+je!I81</f>
        <v>4803241</v>
      </c>
      <c r="E26" s="1013"/>
      <c r="F26" s="1013"/>
      <c r="G26" s="1033"/>
      <c r="H26" s="1031"/>
      <c r="I26" s="1031"/>
      <c r="J26" s="1031">
        <v>3399399</v>
      </c>
      <c r="K26" s="1034"/>
      <c r="L26" s="1013">
        <f t="shared" si="1"/>
        <v>1403842</v>
      </c>
    </row>
    <row r="27" spans="1:12" ht="12.75">
      <c r="A27" s="1015" t="s">
        <v>690</v>
      </c>
      <c r="B27" s="1013"/>
      <c r="C27" s="1013"/>
      <c r="D27" s="1013">
        <f>+je!I148</f>
        <v>50279048</v>
      </c>
      <c r="E27" s="1013"/>
      <c r="F27" s="1013"/>
      <c r="G27" s="1033"/>
      <c r="H27" s="1031"/>
      <c r="I27" s="1031"/>
      <c r="J27" s="1031">
        <v>50279048</v>
      </c>
      <c r="K27" s="1034"/>
      <c r="L27" s="1013">
        <f t="shared" si="1"/>
        <v>0</v>
      </c>
    </row>
    <row r="28" spans="1:12" ht="12.75">
      <c r="A28" s="1015" t="s">
        <v>699</v>
      </c>
      <c r="B28" s="1013"/>
      <c r="C28" s="1013"/>
      <c r="D28" s="1013">
        <f>+je!I152</f>
        <v>3559350</v>
      </c>
      <c r="E28" s="1013"/>
      <c r="F28" s="1013"/>
      <c r="G28" s="1033"/>
      <c r="H28" s="1031"/>
      <c r="I28" s="1031"/>
      <c r="J28" s="1031">
        <v>3718591</v>
      </c>
      <c r="K28" s="1034"/>
      <c r="L28" s="1013">
        <f t="shared" si="1"/>
        <v>-159241</v>
      </c>
    </row>
    <row r="29" spans="1:12" ht="12.75">
      <c r="A29" s="1015" t="s">
        <v>724</v>
      </c>
      <c r="B29" s="1013"/>
      <c r="C29" s="1013"/>
      <c r="D29" s="1013">
        <f>+je!I174</f>
        <v>200000</v>
      </c>
      <c r="E29" s="1013"/>
      <c r="F29" s="1013"/>
      <c r="G29" s="1033"/>
      <c r="H29" s="1031"/>
      <c r="I29" s="1031"/>
      <c r="J29" s="1031">
        <v>200000</v>
      </c>
      <c r="K29" s="1034"/>
      <c r="L29" s="1013">
        <f t="shared" si="1"/>
        <v>0</v>
      </c>
    </row>
    <row r="30" spans="1:12" ht="12.75">
      <c r="A30" s="1015" t="s">
        <v>725</v>
      </c>
      <c r="B30" s="1013"/>
      <c r="C30" s="1013"/>
      <c r="D30" s="1013">
        <f>+je!I177</f>
        <v>-500000</v>
      </c>
      <c r="E30" s="1013"/>
      <c r="F30" s="1013"/>
      <c r="G30" s="1033"/>
      <c r="H30" s="1031"/>
      <c r="I30" s="1031"/>
      <c r="J30" s="1031">
        <v>-500000</v>
      </c>
      <c r="K30" s="1034"/>
      <c r="L30" s="1013">
        <f t="shared" si="1"/>
        <v>0</v>
      </c>
    </row>
    <row r="31" spans="1:12" ht="12.75">
      <c r="A31" s="1015" t="s">
        <v>700</v>
      </c>
      <c r="B31" s="1013"/>
      <c r="C31" s="1013"/>
      <c r="D31" s="1013">
        <f>+je!I185</f>
        <v>-129718</v>
      </c>
      <c r="E31" s="1013"/>
      <c r="F31" s="1013"/>
      <c r="G31" s="1033"/>
      <c r="H31" s="1031"/>
      <c r="I31" s="1031"/>
      <c r="J31" s="1031">
        <v>-129718</v>
      </c>
      <c r="K31" s="1034"/>
      <c r="L31" s="1013">
        <f t="shared" si="1"/>
        <v>0</v>
      </c>
    </row>
    <row r="32" spans="1:12" ht="12.75">
      <c r="A32" s="1015" t="s">
        <v>723</v>
      </c>
      <c r="B32" s="1013"/>
      <c r="C32" s="1013"/>
      <c r="D32" s="1013">
        <f>+je!I198</f>
        <v>1269643</v>
      </c>
      <c r="E32" s="1013"/>
      <c r="F32" s="1013"/>
      <c r="G32" s="1033"/>
      <c r="H32" s="1031"/>
      <c r="I32" s="1031"/>
      <c r="J32" s="1031">
        <v>904955</v>
      </c>
      <c r="K32" s="1034"/>
      <c r="L32" s="1013">
        <f t="shared" si="1"/>
        <v>364688</v>
      </c>
    </row>
    <row r="33" spans="1:12" ht="12.75">
      <c r="A33" s="1015" t="s">
        <v>629</v>
      </c>
      <c r="B33" s="1013"/>
      <c r="C33" s="1013"/>
      <c r="D33" s="1013">
        <f>+je!D229</f>
        <v>-83908483</v>
      </c>
      <c r="E33" s="1013"/>
      <c r="F33" s="1013"/>
      <c r="G33" s="1033"/>
      <c r="H33" s="1031"/>
      <c r="I33" s="1031"/>
      <c r="J33" s="1031"/>
      <c r="K33" s="1034"/>
      <c r="L33" s="1013"/>
    </row>
    <row r="34" spans="2:11" ht="12.75">
      <c r="B34" s="1013"/>
      <c r="C34" s="1013"/>
      <c r="D34" s="1014"/>
      <c r="E34" s="1013">
        <f>SUM(D23:D33)</f>
        <v>-95065915.69</v>
      </c>
      <c r="F34" s="1013"/>
      <c r="G34" s="1033"/>
      <c r="H34" s="1031"/>
      <c r="I34" s="1031"/>
      <c r="J34" s="1014"/>
      <c r="K34" s="1034">
        <f>SUM(J23:J32)</f>
        <v>-12582752</v>
      </c>
    </row>
    <row r="35" spans="2:11" ht="12.75">
      <c r="B35" s="1013"/>
      <c r="C35" s="1013"/>
      <c r="D35" s="1013"/>
      <c r="E35" s="1013"/>
      <c r="F35" s="1013"/>
      <c r="G35" s="1033"/>
      <c r="H35" s="1031"/>
      <c r="I35" s="1031"/>
      <c r="J35" s="1031"/>
      <c r="K35" s="1034"/>
    </row>
    <row r="36" spans="1:11" ht="12.75">
      <c r="A36" s="1010" t="s">
        <v>727</v>
      </c>
      <c r="B36" s="1013"/>
      <c r="C36" s="1013"/>
      <c r="D36" s="1013"/>
      <c r="E36" s="1013"/>
      <c r="F36" s="1013"/>
      <c r="G36" s="1033"/>
      <c r="H36" s="1031"/>
      <c r="I36" s="1031"/>
      <c r="J36" s="1031"/>
      <c r="K36" s="1034"/>
    </row>
    <row r="37" spans="1:12" ht="12.75">
      <c r="A37" s="1015" t="s">
        <v>728</v>
      </c>
      <c r="D37" s="1013">
        <f>+je!M170</f>
        <v>4031970</v>
      </c>
      <c r="E37" s="1013"/>
      <c r="G37" s="1032"/>
      <c r="H37" s="1031"/>
      <c r="I37" s="1031"/>
      <c r="J37" s="1031">
        <v>4031970</v>
      </c>
      <c r="K37" s="1034"/>
      <c r="L37" s="1013">
        <f>+D37-J37</f>
        <v>0</v>
      </c>
    </row>
    <row r="38" spans="1:12" ht="12.75">
      <c r="A38" s="1015" t="s">
        <v>729</v>
      </c>
      <c r="D38" s="1013">
        <f>+je!M181</f>
        <v>2210118</v>
      </c>
      <c r="E38" s="1013"/>
      <c r="G38" s="1032"/>
      <c r="H38" s="1031"/>
      <c r="I38" s="1031"/>
      <c r="J38" s="1031">
        <v>2210118</v>
      </c>
      <c r="K38" s="1034"/>
      <c r="L38" s="1013">
        <f>+D38-J38</f>
        <v>0</v>
      </c>
    </row>
    <row r="39" spans="1:12" ht="12.75">
      <c r="A39" s="1015" t="s">
        <v>730</v>
      </c>
      <c r="D39" s="1013">
        <f>+je!M78</f>
        <v>-6256678</v>
      </c>
      <c r="E39" s="1013"/>
      <c r="G39" s="1032"/>
      <c r="H39" s="1031"/>
      <c r="I39" s="1031"/>
      <c r="J39" s="1031">
        <v>-7484603</v>
      </c>
      <c r="K39" s="1034"/>
      <c r="L39" s="1013">
        <f>+D39-J39</f>
        <v>1227925</v>
      </c>
    </row>
    <row r="40" spans="1:12" ht="12.75">
      <c r="A40" s="1015" t="s">
        <v>731</v>
      </c>
      <c r="D40" s="1013">
        <v>-1969129</v>
      </c>
      <c r="E40" s="1013"/>
      <c r="G40" s="1032"/>
      <c r="H40" s="1031"/>
      <c r="I40" s="1031"/>
      <c r="J40" s="1031">
        <v>-41203</v>
      </c>
      <c r="K40" s="1034"/>
      <c r="L40" s="1013">
        <f>+D40-J40</f>
        <v>-1927926</v>
      </c>
    </row>
    <row r="41" spans="4:11" ht="12.75">
      <c r="D41" s="1014"/>
      <c r="E41" s="1013">
        <f>SUM(D37:D40)</f>
        <v>-1983719</v>
      </c>
      <c r="G41" s="1032"/>
      <c r="H41" s="1031"/>
      <c r="I41" s="1031"/>
      <c r="J41" s="1014"/>
      <c r="K41" s="1034">
        <f>SUM(J37:J40)</f>
        <v>-1283718</v>
      </c>
    </row>
    <row r="42" spans="4:12" ht="13.5" thickBot="1">
      <c r="D42" s="1013"/>
      <c r="E42" s="1017">
        <f>SUM(E18:E41)</f>
        <v>-494554</v>
      </c>
      <c r="G42" s="1032"/>
      <c r="H42" s="1031"/>
      <c r="I42" s="1031"/>
      <c r="J42" s="1031"/>
      <c r="K42" s="1037">
        <f>SUM(K18:K41)</f>
        <v>0</v>
      </c>
      <c r="L42" s="1041">
        <f>SUM(L8:L41)</f>
        <v>83413929</v>
      </c>
    </row>
    <row r="43" spans="4:11" ht="13.5" thickTop="1">
      <c r="D43" s="1013"/>
      <c r="E43" s="1013"/>
      <c r="G43" s="1053"/>
      <c r="H43" s="1054"/>
      <c r="I43" s="1054"/>
      <c r="J43" s="1054"/>
      <c r="K43" s="1039"/>
    </row>
    <row r="44" spans="1:11" ht="13.5" thickBot="1">
      <c r="A44" t="s">
        <v>589</v>
      </c>
      <c r="D44" s="1013"/>
      <c r="E44" s="1057">
        <f>+'B. Sheet'!Z19*1000</f>
        <v>1.0913936421275139E-08</v>
      </c>
      <c r="G44" s="95"/>
      <c r="H44" s="1031"/>
      <c r="I44" s="1031"/>
      <c r="J44" s="1031"/>
      <c r="K44" s="1031"/>
    </row>
    <row r="45" spans="4:11" ht="13.5" thickTop="1">
      <c r="D45" s="1013"/>
      <c r="E45" s="1013"/>
      <c r="G45" s="95"/>
      <c r="H45" s="1031"/>
      <c r="I45" s="1031"/>
      <c r="J45" s="1031"/>
      <c r="K45" s="1031"/>
    </row>
    <row r="46" spans="4:11" ht="12.75">
      <c r="D46" s="1013"/>
      <c r="E46" s="1013">
        <f>+E42-E44</f>
        <v>-494554.00000001094</v>
      </c>
      <c r="G46" s="95"/>
      <c r="H46" s="1031"/>
      <c r="I46" s="1031"/>
      <c r="J46" s="1031"/>
      <c r="K46" s="1031"/>
    </row>
    <row r="47" spans="4:11" ht="12.75">
      <c r="D47" s="1013"/>
      <c r="E47" s="1013"/>
      <c r="G47" s="95"/>
      <c r="H47" s="1031"/>
      <c r="I47" s="1031"/>
      <c r="J47" s="1031"/>
      <c r="K47" s="1031"/>
    </row>
    <row r="48" spans="4:11" ht="12.75">
      <c r="D48" s="1013"/>
      <c r="E48" s="1013"/>
      <c r="G48" s="95"/>
      <c r="H48" s="1031"/>
      <c r="I48" s="1031"/>
      <c r="J48" s="1031"/>
      <c r="K48" s="1031"/>
    </row>
    <row r="49" spans="4:11" ht="12.75">
      <c r="D49" s="1013"/>
      <c r="E49" s="1013"/>
      <c r="G49" s="95"/>
      <c r="H49" s="1031"/>
      <c r="I49" s="1013"/>
      <c r="J49" s="1013"/>
      <c r="K49" s="1013"/>
    </row>
    <row r="50" spans="1:11" ht="12.75">
      <c r="A50" s="388" t="s">
        <v>1409</v>
      </c>
      <c r="D50" s="1013"/>
      <c r="E50" s="1013"/>
      <c r="G50" s="1042" t="s">
        <v>1409</v>
      </c>
      <c r="H50" s="1035"/>
      <c r="I50" s="1012" t="s">
        <v>1033</v>
      </c>
      <c r="J50" s="1013"/>
      <c r="K50" s="1013"/>
    </row>
    <row r="51" spans="1:11" ht="12.75">
      <c r="A51" s="388"/>
      <c r="D51" s="1013"/>
      <c r="E51" s="1044" t="s">
        <v>1413</v>
      </c>
      <c r="G51" s="1040"/>
      <c r="H51" s="1045" t="s">
        <v>1414</v>
      </c>
      <c r="I51" s="1012"/>
      <c r="J51" s="1013"/>
      <c r="K51" s="1013"/>
    </row>
    <row r="52" spans="1:11" ht="12.75">
      <c r="A52" s="388"/>
      <c r="D52" s="1013"/>
      <c r="E52" s="1012" t="s">
        <v>317</v>
      </c>
      <c r="G52" s="1040"/>
      <c r="H52" s="1045" t="s">
        <v>317</v>
      </c>
      <c r="I52" s="1012"/>
      <c r="J52" s="1013"/>
      <c r="K52" s="1013"/>
    </row>
    <row r="53" spans="1:11" ht="12.75">
      <c r="A53" s="1030" t="s">
        <v>1570</v>
      </c>
      <c r="D53" s="1013"/>
      <c r="E53" s="1013">
        <v>0</v>
      </c>
      <c r="G53" s="1033"/>
      <c r="H53" s="1034">
        <v>700001</v>
      </c>
      <c r="I53" s="1013">
        <f>+E53-H53</f>
        <v>-700001</v>
      </c>
      <c r="J53" s="1013"/>
      <c r="K53" s="1013"/>
    </row>
    <row r="54" spans="1:11" ht="12.75">
      <c r="A54" s="1015" t="s">
        <v>732</v>
      </c>
      <c r="D54" s="1013"/>
      <c r="E54" s="1013">
        <f>+'B. Sheet'!M20*1000</f>
        <v>754876</v>
      </c>
      <c r="G54" s="1033"/>
      <c r="H54" s="1034">
        <v>754876</v>
      </c>
      <c r="I54" s="1013">
        <f>+E54-H54</f>
        <v>0</v>
      </c>
      <c r="J54" s="1013"/>
      <c r="K54" s="1013"/>
    </row>
    <row r="55" spans="4:11" ht="12.75">
      <c r="D55" s="1013"/>
      <c r="E55" s="1014">
        <f>SUM(E54:E54)</f>
        <v>754876</v>
      </c>
      <c r="G55" s="1033"/>
      <c r="H55" s="1035">
        <f>SUM(H53:H54)</f>
        <v>1454877</v>
      </c>
      <c r="I55" s="1013"/>
      <c r="J55" s="1013"/>
      <c r="K55" s="1013"/>
    </row>
    <row r="56" spans="1:11" ht="12.75">
      <c r="A56" s="1010" t="s">
        <v>733</v>
      </c>
      <c r="D56" s="1013"/>
      <c r="E56" s="1013"/>
      <c r="G56" s="1033"/>
      <c r="H56" s="1034"/>
      <c r="I56" s="1013"/>
      <c r="J56" s="1013"/>
      <c r="K56" s="1013"/>
    </row>
    <row r="57" spans="1:10" ht="12.75">
      <c r="A57" s="1015" t="s">
        <v>1412</v>
      </c>
      <c r="B57" s="1013"/>
      <c r="D57" s="1013">
        <f>+je!J37</f>
        <v>9369151</v>
      </c>
      <c r="E57" s="1013"/>
      <c r="G57" s="1033">
        <v>9588732</v>
      </c>
      <c r="H57" s="1034"/>
      <c r="I57" s="1013">
        <f>+D57-G57</f>
        <v>-219581</v>
      </c>
      <c r="J57" s="1013"/>
    </row>
    <row r="58" spans="1:10" ht="12.75">
      <c r="A58" s="1015" t="s">
        <v>734</v>
      </c>
      <c r="D58" s="1013">
        <f>+je!J44</f>
        <v>-754876</v>
      </c>
      <c r="E58" s="1013"/>
      <c r="G58" s="1033">
        <v>-754876</v>
      </c>
      <c r="H58" s="1034"/>
      <c r="I58" s="1013">
        <f aca="true" t="shared" si="2" ref="I58:I63">+D58-G58</f>
        <v>0</v>
      </c>
      <c r="J58" s="1013"/>
    </row>
    <row r="59" spans="1:10" ht="12.75">
      <c r="A59" s="1015" t="s">
        <v>735</v>
      </c>
      <c r="B59" s="1013"/>
      <c r="D59" s="1013">
        <f>+je!J111</f>
        <v>-153458</v>
      </c>
      <c r="E59" s="1013"/>
      <c r="G59" s="1033">
        <v>-83305</v>
      </c>
      <c r="H59" s="1034"/>
      <c r="I59" s="1013">
        <f t="shared" si="2"/>
        <v>-70153</v>
      </c>
      <c r="J59" s="1013"/>
    </row>
    <row r="60" spans="1:10" ht="12.75">
      <c r="A60" s="1015" t="s">
        <v>1411</v>
      </c>
      <c r="B60" s="1013"/>
      <c r="D60" s="1013">
        <f>+je!J126</f>
        <v>1879786</v>
      </c>
      <c r="E60" s="1013"/>
      <c r="G60" s="1033">
        <v>663635</v>
      </c>
      <c r="H60" s="1034"/>
      <c r="I60" s="1013">
        <f t="shared" si="2"/>
        <v>1216151</v>
      </c>
      <c r="J60" s="1013"/>
    </row>
    <row r="61" spans="1:10" ht="12.75">
      <c r="A61" s="1015" t="s">
        <v>736</v>
      </c>
      <c r="B61" s="1013"/>
      <c r="D61" s="1013">
        <f>+je!J206</f>
        <v>-959794.7999999998</v>
      </c>
      <c r="E61" s="1013"/>
      <c r="G61" s="1033">
        <v>-460408</v>
      </c>
      <c r="H61" s="1034"/>
      <c r="I61" s="1013">
        <f t="shared" si="2"/>
        <v>-499386.7999999998</v>
      </c>
      <c r="J61" s="1013"/>
    </row>
    <row r="62" spans="1:10" ht="12.75">
      <c r="A62" s="1015" t="s">
        <v>1410</v>
      </c>
      <c r="D62" s="1013">
        <f>+je!J214</f>
        <v>-254289.5</v>
      </c>
      <c r="E62" s="1013"/>
      <c r="G62" s="1033">
        <v>696443</v>
      </c>
      <c r="H62" s="1034"/>
      <c r="I62" s="1013">
        <f t="shared" si="2"/>
        <v>-950732.5</v>
      </c>
      <c r="J62" s="1013"/>
    </row>
    <row r="63" spans="1:10" ht="12.75">
      <c r="A63" s="1015" t="s">
        <v>737</v>
      </c>
      <c r="D63" s="1013">
        <f>+je!J216</f>
        <v>0</v>
      </c>
      <c r="E63" s="1013"/>
      <c r="G63" s="1033">
        <v>-700001</v>
      </c>
      <c r="H63" s="1034"/>
      <c r="I63" s="1013">
        <f t="shared" si="2"/>
        <v>700001</v>
      </c>
      <c r="J63" s="1013"/>
    </row>
    <row r="64" spans="4:10" ht="12.75">
      <c r="D64" s="1014"/>
      <c r="E64" s="1013">
        <f>SUM(D57:D63)</f>
        <v>9126518.7</v>
      </c>
      <c r="G64" s="1036"/>
      <c r="H64" s="1034">
        <f>SUM(G57:G63)</f>
        <v>8950220</v>
      </c>
      <c r="I64" s="1013"/>
      <c r="J64" s="1013"/>
    </row>
    <row r="65" spans="4:10" ht="13.5" thickBot="1">
      <c r="D65" s="1013"/>
      <c r="E65" s="1017">
        <f>SUM(E55:E64)</f>
        <v>9881394.7</v>
      </c>
      <c r="G65" s="1033"/>
      <c r="H65" s="1037">
        <f>SUM(H55:H64)</f>
        <v>10405097</v>
      </c>
      <c r="I65" s="1041">
        <f>SUM(I53:I64)</f>
        <v>-523702.2999999998</v>
      </c>
      <c r="J65" s="1013"/>
    </row>
    <row r="66" spans="4:10" ht="13.5" thickTop="1">
      <c r="D66" s="1013"/>
      <c r="E66" s="1013"/>
      <c r="G66" s="1038"/>
      <c r="H66" s="1039"/>
      <c r="I66" s="1013"/>
      <c r="J66" s="1013"/>
    </row>
    <row r="67" spans="1:10" ht="13.5" thickBot="1">
      <c r="A67" t="s">
        <v>589</v>
      </c>
      <c r="D67" s="1013"/>
      <c r="E67" s="1057">
        <f>+'B. Sheet'!Z20*1000</f>
        <v>10581395.7</v>
      </c>
      <c r="G67" s="1013"/>
      <c r="H67" s="1013"/>
      <c r="I67" s="1013"/>
      <c r="J67" s="1013"/>
    </row>
    <row r="68" spans="4:10" ht="13.5" thickTop="1">
      <c r="D68" s="1013"/>
      <c r="E68" s="1013"/>
      <c r="G68" s="1013"/>
      <c r="H68" s="1013"/>
      <c r="I68" s="1013"/>
      <c r="J68" s="1013"/>
    </row>
    <row r="69" spans="4:10" ht="12.75">
      <c r="D69" s="1013"/>
      <c r="E69" s="1013">
        <f>+E65-E67</f>
        <v>-700001</v>
      </c>
      <c r="G69" s="1013"/>
      <c r="H69" s="1013"/>
      <c r="I69" s="1013"/>
      <c r="J69" s="1013"/>
    </row>
    <row r="70" spans="4:10" ht="12.75">
      <c r="D70" s="1013"/>
      <c r="E70" s="1013"/>
      <c r="G70" s="1013"/>
      <c r="H70" s="1013"/>
      <c r="I70" s="1013"/>
      <c r="J70" s="1013"/>
    </row>
    <row r="71" spans="4:10" ht="12.75">
      <c r="D71" s="1013"/>
      <c r="E71" s="1013"/>
      <c r="G71" s="1013"/>
      <c r="H71" s="1013"/>
      <c r="I71" s="1013"/>
      <c r="J71" s="1013"/>
    </row>
    <row r="72" spans="4:10" ht="12.75">
      <c r="D72" s="1013"/>
      <c r="E72" s="1013"/>
      <c r="G72" s="1013"/>
      <c r="H72" s="1013"/>
      <c r="I72" s="1013"/>
      <c r="J72" s="1013"/>
    </row>
    <row r="73" spans="4:10" ht="12.75">
      <c r="D73" s="1013"/>
      <c r="E73" s="1013"/>
      <c r="G73" s="1013"/>
      <c r="H73" s="1013"/>
      <c r="I73" s="1013"/>
      <c r="J73" s="1013"/>
    </row>
    <row r="74" spans="4:10" ht="12.75">
      <c r="D74" s="1013"/>
      <c r="E74" s="1013"/>
      <c r="G74" s="1013"/>
      <c r="H74" s="1013"/>
      <c r="I74" s="1013"/>
      <c r="J74" s="1013"/>
    </row>
    <row r="75" spans="4:10" ht="12.75">
      <c r="D75" s="1013"/>
      <c r="E75" s="1013"/>
      <c r="G75" s="1013"/>
      <c r="H75" s="1013"/>
      <c r="I75" s="1013"/>
      <c r="J75" s="1013"/>
    </row>
    <row r="76" spans="4:10" ht="12.75">
      <c r="D76" s="1013"/>
      <c r="E76" s="1013"/>
      <c r="G76" s="1013"/>
      <c r="H76" s="1013"/>
      <c r="I76" s="1013"/>
      <c r="J76" s="1013"/>
    </row>
    <row r="77" spans="4:5" ht="12.75">
      <c r="D77" s="1013"/>
      <c r="E77" s="1013"/>
    </row>
    <row r="78" spans="4:5" ht="12.75">
      <c r="D78" s="1013"/>
      <c r="E78" s="1013"/>
    </row>
    <row r="79" spans="4:5" ht="12.75">
      <c r="D79" s="1013"/>
      <c r="E79" s="1013"/>
    </row>
    <row r="80" spans="4:5" ht="12.75">
      <c r="D80" s="1013"/>
      <c r="E80" s="1013"/>
    </row>
    <row r="81" spans="4:5" ht="12.75">
      <c r="D81" s="1013"/>
      <c r="E81" s="1013"/>
    </row>
    <row r="82" spans="4:5" ht="12.75">
      <c r="D82" s="1013"/>
      <c r="E82" s="1013"/>
    </row>
    <row r="83" spans="4:5" ht="12.75">
      <c r="D83" s="1013"/>
      <c r="E83" s="1013"/>
    </row>
    <row r="84" spans="4:5" ht="12.75">
      <c r="D84" s="1013"/>
      <c r="E84" s="1013"/>
    </row>
  </sheetData>
  <mergeCells count="1">
    <mergeCell ref="G2:H2"/>
  </mergeCells>
  <printOptions/>
  <pageMargins left="0.75" right="0.75" top="1" bottom="1" header="0.5" footer="0.5"/>
  <pageSetup horizontalDpi="600" verticalDpi="600" orientation="portrait" scale="38" r:id="rId1"/>
</worksheet>
</file>

<file path=xl/worksheets/sheet33.xml><?xml version="1.0" encoding="utf-8"?>
<worksheet xmlns="http://schemas.openxmlformats.org/spreadsheetml/2006/main" xmlns:r="http://schemas.openxmlformats.org/officeDocument/2006/relationships">
  <sheetPr>
    <pageSetUpPr fitToPage="1"/>
  </sheetPr>
  <dimension ref="A1:K47"/>
  <sheetViews>
    <sheetView view="pageBreakPreview" zoomScale="60" zoomScaleNormal="60" workbookViewId="0" topLeftCell="A1">
      <selection activeCell="O12" sqref="O12"/>
    </sheetView>
  </sheetViews>
  <sheetFormatPr defaultColWidth="9.140625" defaultRowHeight="12.75"/>
  <cols>
    <col min="1" max="1" width="18.57421875" style="0" customWidth="1"/>
    <col min="2" max="2" width="10.8515625" style="0" customWidth="1"/>
    <col min="3" max="4" width="11.28125" style="0" customWidth="1"/>
    <col min="5" max="5" width="13.7109375" style="0" customWidth="1"/>
    <col min="6" max="6" width="11.28125" style="0" customWidth="1"/>
    <col min="7" max="7" width="10.28125" style="0" customWidth="1"/>
    <col min="8" max="8" width="11.28125" style="0" customWidth="1"/>
    <col min="9" max="9" width="10.8515625" style="0" bestFit="1" customWidth="1"/>
    <col min="10" max="11" width="9.421875" style="0" bestFit="1" customWidth="1"/>
  </cols>
  <sheetData>
    <row r="1" spans="1:9" ht="12.75">
      <c r="A1" s="49"/>
      <c r="B1" s="91"/>
      <c r="C1" s="91"/>
      <c r="D1" s="91"/>
      <c r="E1" s="49"/>
      <c r="F1" s="92"/>
      <c r="G1" s="93" t="s">
        <v>974</v>
      </c>
      <c r="H1" s="94"/>
      <c r="I1" s="95"/>
    </row>
    <row r="2" spans="1:10" ht="13.5" thickBot="1">
      <c r="A2" s="96"/>
      <c r="B2" s="97" t="s">
        <v>351</v>
      </c>
      <c r="C2" s="97" t="s">
        <v>975</v>
      </c>
      <c r="D2" s="98" t="s">
        <v>369</v>
      </c>
      <c r="E2" s="113" t="s">
        <v>976</v>
      </c>
      <c r="F2" s="99" t="s">
        <v>977</v>
      </c>
      <c r="G2" s="100" t="s">
        <v>1002</v>
      </c>
      <c r="H2" s="101" t="s">
        <v>568</v>
      </c>
      <c r="I2" s="61"/>
      <c r="J2" s="2"/>
    </row>
    <row r="3" spans="1:10" ht="12.75">
      <c r="A3" s="111" t="s">
        <v>978</v>
      </c>
      <c r="B3" s="110">
        <v>0.93333</v>
      </c>
      <c r="C3" s="49">
        <v>2999.997</v>
      </c>
      <c r="D3" s="49">
        <v>200</v>
      </c>
      <c r="E3" s="78">
        <v>4240</v>
      </c>
      <c r="F3" s="50">
        <f>+C3-D3</f>
        <v>2799.997</v>
      </c>
      <c r="G3" s="102">
        <f>638.957+34.487</f>
        <v>673.444</v>
      </c>
      <c r="H3" s="103">
        <f>E3-(F3+G3)</f>
        <v>766.5590000000002</v>
      </c>
      <c r="I3" s="61"/>
      <c r="J3" s="2"/>
    </row>
    <row r="4" spans="1:10" ht="12.75">
      <c r="A4" s="111" t="s">
        <v>979</v>
      </c>
      <c r="B4" s="110">
        <v>1</v>
      </c>
      <c r="C4" s="49">
        <v>1500.003</v>
      </c>
      <c r="D4" s="49">
        <f aca="true" t="shared" si="0" ref="D4:D19">(1-B4)*C4</f>
        <v>0</v>
      </c>
      <c r="E4" s="78">
        <v>1500</v>
      </c>
      <c r="F4" s="77">
        <f aca="true" t="shared" si="1" ref="F4:F18">B4*C4</f>
        <v>1500.003</v>
      </c>
      <c r="G4" s="49">
        <f>26.702+44.543+34.249</f>
        <v>105.494</v>
      </c>
      <c r="H4" s="78">
        <f aca="true" t="shared" si="2" ref="H4:H18">E4-(F4+G4)</f>
        <v>-105.49699999999984</v>
      </c>
      <c r="I4" s="61"/>
      <c r="J4" s="2"/>
    </row>
    <row r="5" spans="1:10" ht="12.75">
      <c r="A5" s="111" t="s">
        <v>980</v>
      </c>
      <c r="B5" s="110">
        <v>1</v>
      </c>
      <c r="C5" s="49">
        <v>1500</v>
      </c>
      <c r="D5" s="49">
        <f t="shared" si="0"/>
        <v>0</v>
      </c>
      <c r="E5" s="78">
        <v>1500</v>
      </c>
      <c r="F5" s="77">
        <f t="shared" si="1"/>
        <v>1500</v>
      </c>
      <c r="G5" s="49">
        <v>213.62</v>
      </c>
      <c r="H5" s="78">
        <f t="shared" si="2"/>
        <v>-213.6199999999999</v>
      </c>
      <c r="I5" s="61"/>
      <c r="J5" s="2"/>
    </row>
    <row r="6" spans="1:10" ht="12.75">
      <c r="A6" s="111" t="s">
        <v>981</v>
      </c>
      <c r="B6" s="110">
        <v>1</v>
      </c>
      <c r="C6" s="49">
        <v>1000</v>
      </c>
      <c r="D6" s="49">
        <f t="shared" si="0"/>
        <v>0</v>
      </c>
      <c r="E6" s="78">
        <v>784</v>
      </c>
      <c r="F6" s="77">
        <f t="shared" si="1"/>
        <v>1000</v>
      </c>
      <c r="G6" s="49">
        <f>-226.025+18.768</f>
        <v>-207.257</v>
      </c>
      <c r="H6" s="78">
        <f>E6-(F6+G6)</f>
        <v>-8.742999999999938</v>
      </c>
      <c r="I6" s="61"/>
      <c r="J6" s="2"/>
    </row>
    <row r="7" spans="1:10" ht="12.75">
      <c r="A7" s="111" t="s">
        <v>1006</v>
      </c>
      <c r="B7" s="110">
        <v>1</v>
      </c>
      <c r="C7" s="49">
        <v>5000</v>
      </c>
      <c r="D7" s="49">
        <f t="shared" si="0"/>
        <v>0</v>
      </c>
      <c r="E7" s="78">
        <v>5001.698</v>
      </c>
      <c r="F7" s="77">
        <f t="shared" si="1"/>
        <v>5000</v>
      </c>
      <c r="G7" s="49">
        <v>0</v>
      </c>
      <c r="H7" s="78">
        <f t="shared" si="2"/>
        <v>1.6980000000003201</v>
      </c>
      <c r="I7" s="61"/>
      <c r="J7" s="2"/>
    </row>
    <row r="8" spans="1:10" ht="12.75">
      <c r="A8" s="111" t="s">
        <v>982</v>
      </c>
      <c r="B8" s="110">
        <v>0.6</v>
      </c>
      <c r="C8" s="49">
        <v>2000</v>
      </c>
      <c r="D8" s="49">
        <f t="shared" si="0"/>
        <v>800</v>
      </c>
      <c r="E8" s="78">
        <v>1200</v>
      </c>
      <c r="F8" s="77">
        <f t="shared" si="1"/>
        <v>1200</v>
      </c>
      <c r="G8" s="49">
        <v>673.332</v>
      </c>
      <c r="H8" s="78">
        <f t="shared" si="2"/>
        <v>-673.3319999999999</v>
      </c>
      <c r="I8" s="61"/>
      <c r="J8" s="2"/>
    </row>
    <row r="9" spans="1:10" ht="12.75">
      <c r="A9" s="111" t="s">
        <v>983</v>
      </c>
      <c r="B9" s="110">
        <v>0.6</v>
      </c>
      <c r="C9" s="49">
        <v>500</v>
      </c>
      <c r="D9" s="49">
        <f t="shared" si="0"/>
        <v>200</v>
      </c>
      <c r="E9" s="78">
        <v>380</v>
      </c>
      <c r="F9" s="77">
        <f t="shared" si="1"/>
        <v>300</v>
      </c>
      <c r="G9" s="49">
        <v>-219.922</v>
      </c>
      <c r="H9" s="78">
        <f>E9-(F9+G9)</f>
        <v>299.922</v>
      </c>
      <c r="I9" s="61"/>
      <c r="J9" s="2"/>
    </row>
    <row r="10" spans="1:10" ht="12.75">
      <c r="A10" s="111" t="s">
        <v>984</v>
      </c>
      <c r="B10" s="110">
        <v>0.6</v>
      </c>
      <c r="C10" s="49">
        <v>100</v>
      </c>
      <c r="D10" s="49">
        <f t="shared" si="0"/>
        <v>40</v>
      </c>
      <c r="E10" s="78">
        <v>60</v>
      </c>
      <c r="F10" s="77">
        <f t="shared" si="1"/>
        <v>60</v>
      </c>
      <c r="G10" s="49">
        <v>0</v>
      </c>
      <c r="H10" s="78">
        <f t="shared" si="2"/>
        <v>0</v>
      </c>
      <c r="I10" s="61"/>
      <c r="J10" s="2"/>
    </row>
    <row r="11" spans="1:10" ht="12.75">
      <c r="A11" s="111" t="s">
        <v>336</v>
      </c>
      <c r="B11" s="110">
        <v>1</v>
      </c>
      <c r="C11" s="49">
        <v>500</v>
      </c>
      <c r="D11" s="49">
        <f t="shared" si="0"/>
        <v>0</v>
      </c>
      <c r="E11" s="78">
        <v>399.999</v>
      </c>
      <c r="F11" s="77">
        <f>B11*C11</f>
        <v>500</v>
      </c>
      <c r="G11" s="49">
        <v>-193.149</v>
      </c>
      <c r="H11" s="78">
        <f t="shared" si="2"/>
        <v>93.14800000000002</v>
      </c>
      <c r="I11" s="61"/>
      <c r="J11" s="2"/>
    </row>
    <row r="12" spans="1:10" ht="12.75">
      <c r="A12" s="111" t="s">
        <v>332</v>
      </c>
      <c r="B12" s="110">
        <v>1</v>
      </c>
      <c r="C12" s="49">
        <v>1250</v>
      </c>
      <c r="D12" s="49">
        <f t="shared" si="0"/>
        <v>0</v>
      </c>
      <c r="E12" s="78">
        <f>1117.5</f>
        <v>1117.5</v>
      </c>
      <c r="F12" s="77">
        <f>B12*C12</f>
        <v>1250</v>
      </c>
      <c r="G12" s="49">
        <f>-241.808</f>
        <v>-241.808</v>
      </c>
      <c r="H12" s="78">
        <f>E12-(F12+G12)</f>
        <v>109.30799999999999</v>
      </c>
      <c r="I12" s="61"/>
      <c r="J12" s="2"/>
    </row>
    <row r="13" spans="1:10" ht="12.75">
      <c r="A13" s="111" t="s">
        <v>985</v>
      </c>
      <c r="B13" s="110">
        <v>1</v>
      </c>
      <c r="C13" s="49">
        <v>2000</v>
      </c>
      <c r="D13" s="49">
        <f t="shared" si="0"/>
        <v>0</v>
      </c>
      <c r="E13" s="78">
        <v>2000</v>
      </c>
      <c r="F13" s="77">
        <f t="shared" si="1"/>
        <v>2000</v>
      </c>
      <c r="G13" s="49">
        <v>95.519</v>
      </c>
      <c r="H13" s="78">
        <f>E13-(F13+G13)</f>
        <v>-95.51900000000023</v>
      </c>
      <c r="I13" s="61"/>
      <c r="J13" s="2"/>
    </row>
    <row r="14" spans="1:10" ht="12.75">
      <c r="A14" s="111" t="s">
        <v>325</v>
      </c>
      <c r="B14" s="110">
        <v>1</v>
      </c>
      <c r="C14" s="49">
        <v>0.002</v>
      </c>
      <c r="D14" s="49">
        <f t="shared" si="0"/>
        <v>0</v>
      </c>
      <c r="E14" s="78">
        <v>2</v>
      </c>
      <c r="F14" s="77">
        <f t="shared" si="1"/>
        <v>0.002</v>
      </c>
      <c r="G14" s="49">
        <v>0</v>
      </c>
      <c r="H14" s="78">
        <f t="shared" si="2"/>
        <v>1.998</v>
      </c>
      <c r="I14" s="61"/>
      <c r="J14" s="2"/>
    </row>
    <row r="15" spans="1:10" ht="12.75">
      <c r="A15" s="111" t="s">
        <v>324</v>
      </c>
      <c r="B15" s="110">
        <v>1</v>
      </c>
      <c r="C15" s="49">
        <v>0.002</v>
      </c>
      <c r="D15" s="49">
        <f t="shared" si="0"/>
        <v>0</v>
      </c>
      <c r="E15" s="78">
        <v>1.8</v>
      </c>
      <c r="F15" s="77">
        <f t="shared" si="1"/>
        <v>0.002</v>
      </c>
      <c r="G15" s="49">
        <v>0</v>
      </c>
      <c r="H15" s="78">
        <f t="shared" si="2"/>
        <v>1.798</v>
      </c>
      <c r="I15" s="61"/>
      <c r="J15" s="2"/>
    </row>
    <row r="16" spans="1:10" ht="12.75">
      <c r="A16" s="111" t="s">
        <v>936</v>
      </c>
      <c r="B16" s="110">
        <v>1</v>
      </c>
      <c r="C16" s="49">
        <v>0.002</v>
      </c>
      <c r="D16" s="49">
        <f t="shared" si="0"/>
        <v>0</v>
      </c>
      <c r="E16" s="78">
        <v>1.5771</v>
      </c>
      <c r="F16" s="77">
        <f>B16*C16</f>
        <v>0.002</v>
      </c>
      <c r="G16" s="49">
        <v>0</v>
      </c>
      <c r="H16" s="78">
        <f t="shared" si="2"/>
        <v>1.5751</v>
      </c>
      <c r="I16" s="61"/>
      <c r="J16" s="2"/>
    </row>
    <row r="17" spans="1:10" ht="12.75">
      <c r="A17" s="111" t="s">
        <v>986</v>
      </c>
      <c r="B17" s="110">
        <v>1</v>
      </c>
      <c r="C17" s="49">
        <v>0.002</v>
      </c>
      <c r="D17" s="49">
        <f t="shared" si="0"/>
        <v>0</v>
      </c>
      <c r="E17" s="78">
        <v>1.6</v>
      </c>
      <c r="F17" s="77">
        <f t="shared" si="1"/>
        <v>0.002</v>
      </c>
      <c r="G17" s="49">
        <v>0</v>
      </c>
      <c r="H17" s="78">
        <f t="shared" si="2"/>
        <v>1.598</v>
      </c>
      <c r="I17" s="61"/>
      <c r="J17" s="2"/>
    </row>
    <row r="18" spans="1:10" ht="12.75">
      <c r="A18" s="111" t="s">
        <v>327</v>
      </c>
      <c r="B18" s="110">
        <v>1</v>
      </c>
      <c r="C18" s="49">
        <v>0.002</v>
      </c>
      <c r="D18" s="49">
        <f t="shared" si="0"/>
        <v>0</v>
      </c>
      <c r="E18" s="78">
        <v>1.6</v>
      </c>
      <c r="F18" s="77">
        <f t="shared" si="1"/>
        <v>0.002</v>
      </c>
      <c r="G18" s="49">
        <v>0</v>
      </c>
      <c r="H18" s="78">
        <f t="shared" si="2"/>
        <v>1.598</v>
      </c>
      <c r="I18" s="61"/>
      <c r="J18" s="2"/>
    </row>
    <row r="19" spans="1:10" ht="12.75">
      <c r="A19" s="111" t="s">
        <v>188</v>
      </c>
      <c r="B19" s="110">
        <v>0.7</v>
      </c>
      <c r="C19" s="49">
        <v>1000</v>
      </c>
      <c r="D19" s="49">
        <f t="shared" si="0"/>
        <v>300.00000000000006</v>
      </c>
      <c r="E19" s="78">
        <v>700</v>
      </c>
      <c r="F19" s="77">
        <f>B19*C19</f>
        <v>700</v>
      </c>
      <c r="G19" s="49">
        <v>-3.233</v>
      </c>
      <c r="H19" s="78">
        <f>E19-(F19+G19)</f>
        <v>3.2329999999999472</v>
      </c>
      <c r="I19" s="61"/>
      <c r="J19" s="2"/>
    </row>
    <row r="20" spans="1:10" ht="12.75">
      <c r="A20" s="112"/>
      <c r="B20" s="104"/>
      <c r="C20" s="105">
        <f aca="true" t="shared" si="3" ref="C20:H20">SUM(C3:C19)</f>
        <v>19350.010000000002</v>
      </c>
      <c r="D20" s="105">
        <f t="shared" si="3"/>
        <v>1540</v>
      </c>
      <c r="E20" s="106">
        <f t="shared" si="3"/>
        <v>18891.774099999995</v>
      </c>
      <c r="F20" s="104">
        <f>SUM(F3:F19)</f>
        <v>17810.010000000002</v>
      </c>
      <c r="G20" s="105">
        <f>SUM(G3:G19)</f>
        <v>896.04</v>
      </c>
      <c r="H20" s="106">
        <f t="shared" si="3"/>
        <v>185.72410000000073</v>
      </c>
      <c r="I20" s="49"/>
      <c r="J20" s="67"/>
    </row>
    <row r="21" spans="1:10" ht="12.75">
      <c r="A21" s="49"/>
      <c r="B21" s="49"/>
      <c r="C21" s="45"/>
      <c r="D21" s="45"/>
      <c r="E21" s="49"/>
      <c r="F21" s="49"/>
      <c r="G21" s="823" t="s">
        <v>789</v>
      </c>
      <c r="H21" s="49"/>
      <c r="I21" s="61"/>
      <c r="J21" s="2"/>
    </row>
    <row r="22" spans="1:10" ht="12.75">
      <c r="A22" s="1"/>
      <c r="B22" s="1"/>
      <c r="C22" s="3"/>
      <c r="D22" s="3"/>
      <c r="E22" s="1"/>
      <c r="F22" s="1"/>
      <c r="G22" s="1"/>
      <c r="H22" s="1"/>
      <c r="I22" s="2"/>
      <c r="J22" s="2"/>
    </row>
    <row r="23" spans="1:10" ht="12.75">
      <c r="A23" s="1"/>
      <c r="B23" s="107"/>
      <c r="C23" s="107"/>
      <c r="D23" s="107"/>
      <c r="E23" s="107"/>
      <c r="F23" s="107"/>
      <c r="G23" s="107"/>
      <c r="H23" s="107"/>
      <c r="I23" s="2"/>
      <c r="J23" s="2"/>
    </row>
    <row r="24" spans="1:11" ht="12.75">
      <c r="A24" s="1"/>
      <c r="B24" s="108" t="s">
        <v>987</v>
      </c>
      <c r="C24" s="108" t="s">
        <v>988</v>
      </c>
      <c r="D24" s="108" t="s">
        <v>989</v>
      </c>
      <c r="E24" s="108" t="s">
        <v>990</v>
      </c>
      <c r="F24" s="108" t="s">
        <v>991</v>
      </c>
      <c r="G24" s="108" t="s">
        <v>992</v>
      </c>
      <c r="H24" s="108" t="s">
        <v>51</v>
      </c>
      <c r="I24" s="108" t="s">
        <v>329</v>
      </c>
      <c r="J24" s="2"/>
      <c r="K24" s="2"/>
    </row>
    <row r="25" spans="1:11" ht="12.75">
      <c r="A25" s="1"/>
      <c r="B25" s="107"/>
      <c r="C25" s="107"/>
      <c r="D25" s="107"/>
      <c r="E25" s="107"/>
      <c r="F25" s="107"/>
      <c r="G25" s="107"/>
      <c r="H25" s="107"/>
      <c r="I25" s="107"/>
      <c r="J25" s="2"/>
      <c r="K25" s="2"/>
    </row>
    <row r="26" spans="1:11" ht="12.75">
      <c r="A26" s="3" t="s">
        <v>993</v>
      </c>
      <c r="B26" s="3">
        <v>411123</v>
      </c>
      <c r="C26" s="3">
        <v>-97798</v>
      </c>
      <c r="D26" s="3">
        <v>-34249</v>
      </c>
      <c r="E26" s="3"/>
      <c r="F26" s="3">
        <v>3696</v>
      </c>
      <c r="G26" s="3">
        <v>6569</v>
      </c>
      <c r="H26" s="3">
        <v>99999</v>
      </c>
      <c r="I26" s="3">
        <f>SUM(B26:H26)</f>
        <v>389340</v>
      </c>
      <c r="J26" s="2"/>
      <c r="K26" s="2"/>
    </row>
    <row r="27" spans="1:11" ht="12.75">
      <c r="A27" s="3"/>
      <c r="B27" s="3"/>
      <c r="C27" s="3"/>
      <c r="D27" s="3"/>
      <c r="E27" s="3"/>
      <c r="F27" s="3"/>
      <c r="G27" s="3"/>
      <c r="H27" s="3"/>
      <c r="I27" s="3"/>
      <c r="J27" s="2"/>
      <c r="K27" s="2"/>
    </row>
    <row r="28" spans="1:11" ht="12.75">
      <c r="A28" s="3" t="s">
        <v>994</v>
      </c>
      <c r="B28" s="3">
        <v>-258979</v>
      </c>
      <c r="C28" s="3">
        <v>19669</v>
      </c>
      <c r="D28" s="3">
        <v>3425</v>
      </c>
      <c r="E28" s="3"/>
      <c r="F28" s="3"/>
      <c r="G28" s="3"/>
      <c r="H28" s="3"/>
      <c r="I28" s="3">
        <f>SUM(B28:G28)</f>
        <v>-235885</v>
      </c>
      <c r="J28" s="2"/>
      <c r="K28" s="2"/>
    </row>
    <row r="29" spans="1:11" ht="12.75">
      <c r="A29" s="3" t="s">
        <v>995</v>
      </c>
      <c r="B29" s="3">
        <f aca="true" t="shared" si="4" ref="B29:G29">+B26+B28</f>
        <v>152144</v>
      </c>
      <c r="C29" s="3">
        <f t="shared" si="4"/>
        <v>-78129</v>
      </c>
      <c r="D29" s="3">
        <f t="shared" si="4"/>
        <v>-30824</v>
      </c>
      <c r="E29" s="3">
        <f t="shared" si="4"/>
        <v>0</v>
      </c>
      <c r="F29" s="3">
        <f t="shared" si="4"/>
        <v>3696</v>
      </c>
      <c r="G29" s="3">
        <f t="shared" si="4"/>
        <v>6569</v>
      </c>
      <c r="H29" s="3"/>
      <c r="I29" s="3">
        <f>SUM(B29:G29)</f>
        <v>53456</v>
      </c>
      <c r="J29" s="22"/>
      <c r="K29" s="2"/>
    </row>
    <row r="30" spans="1:11" ht="12.75">
      <c r="A30" s="3"/>
      <c r="B30" s="3"/>
      <c r="C30" s="3"/>
      <c r="D30" s="3"/>
      <c r="E30" s="3"/>
      <c r="F30" s="3"/>
      <c r="G30" s="3"/>
      <c r="H30" s="3"/>
      <c r="I30" s="3"/>
      <c r="J30" s="2"/>
      <c r="K30" s="2"/>
    </row>
    <row r="31" spans="1:11" ht="12.75">
      <c r="A31" s="3" t="s">
        <v>996</v>
      </c>
      <c r="B31" s="3">
        <f>-B26/20</f>
        <v>-20556.15</v>
      </c>
      <c r="C31" s="3">
        <f>-C26/20</f>
        <v>4889.9</v>
      </c>
      <c r="D31" s="3">
        <f>-D26/20</f>
        <v>1712.45</v>
      </c>
      <c r="E31" s="3">
        <f>-E26/20</f>
        <v>0</v>
      </c>
      <c r="F31" s="3">
        <f>-F26/20</f>
        <v>-184.8</v>
      </c>
      <c r="G31" s="3"/>
      <c r="H31" s="3"/>
      <c r="I31" s="3">
        <f>SUM(B31:G31)</f>
        <v>-14138.6</v>
      </c>
      <c r="J31" s="2"/>
      <c r="K31" s="2"/>
    </row>
    <row r="32" spans="1:11" ht="12.75">
      <c r="A32" s="3" t="s">
        <v>995</v>
      </c>
      <c r="B32" s="3">
        <f aca="true" t="shared" si="5" ref="B32:G32">+B29+B31</f>
        <v>131587.85</v>
      </c>
      <c r="C32" s="3">
        <f t="shared" si="5"/>
        <v>-73239.1</v>
      </c>
      <c r="D32" s="3">
        <f t="shared" si="5"/>
        <v>-29111.55</v>
      </c>
      <c r="E32" s="3">
        <f t="shared" si="5"/>
        <v>0</v>
      </c>
      <c r="F32" s="3">
        <f t="shared" si="5"/>
        <v>3511.2</v>
      </c>
      <c r="G32" s="3">
        <f t="shared" si="5"/>
        <v>6569</v>
      </c>
      <c r="H32" s="3"/>
      <c r="I32" s="3">
        <f>SUM(B32:G32)</f>
        <v>39317.4</v>
      </c>
      <c r="J32" s="2"/>
      <c r="K32" s="2"/>
    </row>
    <row r="33" spans="1:11" ht="12.75">
      <c r="A33" s="3"/>
      <c r="B33" s="3"/>
      <c r="C33" s="3"/>
      <c r="D33" s="3"/>
      <c r="E33" s="3"/>
      <c r="F33" s="3"/>
      <c r="G33" s="3"/>
      <c r="H33" s="3"/>
      <c r="I33" s="3"/>
      <c r="J33" s="2"/>
      <c r="K33" s="2"/>
    </row>
    <row r="34" spans="1:11" ht="12.75">
      <c r="A34" s="3" t="s">
        <v>997</v>
      </c>
      <c r="B34" s="3">
        <f>-$B$26/20</f>
        <v>-20556.15</v>
      </c>
      <c r="C34" s="3">
        <f>-$C$26/20</f>
        <v>4889.9</v>
      </c>
      <c r="D34" s="3">
        <f>-$D$26/20</f>
        <v>1712.45</v>
      </c>
      <c r="E34" s="3">
        <f>-$E$26/20</f>
        <v>0</v>
      </c>
      <c r="F34" s="3">
        <f>-$F$26/20</f>
        <v>-184.8</v>
      </c>
      <c r="G34" s="3">
        <f>-$G$26/20</f>
        <v>-328.45</v>
      </c>
      <c r="H34" s="3"/>
      <c r="I34" s="3">
        <f>SUM(B34:G34)</f>
        <v>-14467.050000000001</v>
      </c>
      <c r="J34" s="2"/>
      <c r="K34" s="2"/>
    </row>
    <row r="35" spans="1:11" ht="12.75">
      <c r="A35" s="3" t="s">
        <v>995</v>
      </c>
      <c r="B35" s="3">
        <f aca="true" t="shared" si="6" ref="B35:G35">+B32+B34</f>
        <v>111031.70000000001</v>
      </c>
      <c r="C35" s="3">
        <f t="shared" si="6"/>
        <v>-68349.20000000001</v>
      </c>
      <c r="D35" s="3">
        <f t="shared" si="6"/>
        <v>-27399.1</v>
      </c>
      <c r="E35" s="3">
        <f t="shared" si="6"/>
        <v>0</v>
      </c>
      <c r="F35" s="3">
        <f t="shared" si="6"/>
        <v>3326.3999999999996</v>
      </c>
      <c r="G35" s="3">
        <f t="shared" si="6"/>
        <v>6240.55</v>
      </c>
      <c r="H35" s="3"/>
      <c r="I35" s="3">
        <f>SUM(B35:G35)</f>
        <v>24850.350000000002</v>
      </c>
      <c r="J35" s="2"/>
      <c r="K35" s="2"/>
    </row>
    <row r="36" spans="1:11" ht="12.75">
      <c r="A36" s="3"/>
      <c r="B36" s="3"/>
      <c r="C36" s="3"/>
      <c r="D36" s="3"/>
      <c r="E36" s="3"/>
      <c r="F36" s="3"/>
      <c r="G36" s="3"/>
      <c r="H36" s="3"/>
      <c r="I36" s="3"/>
      <c r="J36" s="2"/>
      <c r="K36" s="2"/>
    </row>
    <row r="37" spans="1:11" ht="12.75">
      <c r="A37" s="3" t="s">
        <v>998</v>
      </c>
      <c r="B37" s="3">
        <f aca="true" t="shared" si="7" ref="B37:G37">B34/2</f>
        <v>-10278.075</v>
      </c>
      <c r="C37" s="3">
        <f t="shared" si="7"/>
        <v>2444.95</v>
      </c>
      <c r="D37" s="3">
        <f t="shared" si="7"/>
        <v>856.225</v>
      </c>
      <c r="E37" s="3">
        <f t="shared" si="7"/>
        <v>0</v>
      </c>
      <c r="F37" s="3">
        <f t="shared" si="7"/>
        <v>-92.4</v>
      </c>
      <c r="G37" s="3">
        <f t="shared" si="7"/>
        <v>-164.225</v>
      </c>
      <c r="H37" s="3"/>
      <c r="I37" s="3">
        <f>SUM(B37:G37)</f>
        <v>-7233.525000000001</v>
      </c>
      <c r="J37" s="2"/>
      <c r="K37" s="2"/>
    </row>
    <row r="38" spans="1:11" ht="12.75">
      <c r="A38" s="3" t="s">
        <v>995</v>
      </c>
      <c r="B38" s="3">
        <f aca="true" t="shared" si="8" ref="B38:G38">+B35+B37</f>
        <v>100753.62500000001</v>
      </c>
      <c r="C38" s="3">
        <f t="shared" si="8"/>
        <v>-65904.25000000001</v>
      </c>
      <c r="D38" s="3">
        <f t="shared" si="8"/>
        <v>-26542.875</v>
      </c>
      <c r="E38" s="3">
        <f t="shared" si="8"/>
        <v>0</v>
      </c>
      <c r="F38" s="3">
        <f t="shared" si="8"/>
        <v>3233.9999999999995</v>
      </c>
      <c r="G38" s="3">
        <f t="shared" si="8"/>
        <v>6076.325</v>
      </c>
      <c r="H38" s="3"/>
      <c r="I38" s="3">
        <f>SUM(B38:G38)</f>
        <v>17616.825</v>
      </c>
      <c r="J38" s="2"/>
      <c r="K38" s="2"/>
    </row>
    <row r="39" spans="2:11" ht="12.75">
      <c r="B39" s="109"/>
      <c r="C39" s="109"/>
      <c r="D39" s="109"/>
      <c r="E39" s="109"/>
      <c r="F39" s="3"/>
      <c r="G39" s="3"/>
      <c r="H39" s="3"/>
      <c r="I39" s="3"/>
      <c r="J39" s="2"/>
      <c r="K39" s="2"/>
    </row>
    <row r="40" spans="1:11" ht="12.75">
      <c r="A40" s="3" t="s">
        <v>999</v>
      </c>
      <c r="B40" s="3">
        <f>-$B$26/20</f>
        <v>-20556.15</v>
      </c>
      <c r="C40" s="3">
        <f>-$C$26/20</f>
        <v>4889.9</v>
      </c>
      <c r="D40" s="3">
        <f>-$D$26/20</f>
        <v>1712.45</v>
      </c>
      <c r="E40" s="3">
        <f>-$E$26/20</f>
        <v>0</v>
      </c>
      <c r="F40" s="3">
        <f>-$F$26/20</f>
        <v>-184.8</v>
      </c>
      <c r="G40" s="3">
        <f>-$G$26/20</f>
        <v>-328.45</v>
      </c>
      <c r="H40" s="3"/>
      <c r="I40" s="3">
        <f>SUM(B40:G40)</f>
        <v>-14467.050000000001</v>
      </c>
      <c r="J40" s="2"/>
      <c r="K40" s="22"/>
    </row>
    <row r="41" spans="1:11" ht="12.75">
      <c r="A41" s="3" t="s">
        <v>995</v>
      </c>
      <c r="B41" s="3">
        <f aca="true" t="shared" si="9" ref="B41:G41">+B35+B40</f>
        <v>90475.55000000002</v>
      </c>
      <c r="C41" s="3">
        <f t="shared" si="9"/>
        <v>-63459.30000000001</v>
      </c>
      <c r="D41" s="3">
        <f t="shared" si="9"/>
        <v>-25686.649999999998</v>
      </c>
      <c r="E41" s="3">
        <f t="shared" si="9"/>
        <v>0</v>
      </c>
      <c r="F41" s="3">
        <f t="shared" si="9"/>
        <v>3141.5999999999995</v>
      </c>
      <c r="G41" s="3">
        <f t="shared" si="9"/>
        <v>5912.1</v>
      </c>
      <c r="H41" s="3"/>
      <c r="I41" s="3">
        <f>SUM(B41:G41)</f>
        <v>10383.30000000001</v>
      </c>
      <c r="J41" s="2"/>
      <c r="K41" s="2"/>
    </row>
    <row r="42" spans="2:11" ht="12.75">
      <c r="B42" s="109"/>
      <c r="C42" s="109"/>
      <c r="D42" s="109"/>
      <c r="E42" s="109"/>
      <c r="F42" s="3"/>
      <c r="G42" s="3"/>
      <c r="H42" s="3"/>
      <c r="I42" s="3"/>
      <c r="J42" s="2"/>
      <c r="K42" s="2"/>
    </row>
    <row r="43" spans="1:11" ht="12.75">
      <c r="A43" s="3" t="s">
        <v>1000</v>
      </c>
      <c r="B43" s="3">
        <f>-$B$26/20</f>
        <v>-20556.15</v>
      </c>
      <c r="C43" s="3">
        <f>-$C$26/20</f>
        <v>4889.9</v>
      </c>
      <c r="D43" s="3">
        <f>-$D$26/20</f>
        <v>1712.45</v>
      </c>
      <c r="E43" s="3">
        <f>-$E$26/20</f>
        <v>0</v>
      </c>
      <c r="F43" s="3">
        <f>-$F$26/20</f>
        <v>-184.8</v>
      </c>
      <c r="G43" s="3">
        <f>-$G$26/20</f>
        <v>-328.45</v>
      </c>
      <c r="H43" s="3"/>
      <c r="I43" s="3">
        <f>SUM(B43:G43)</f>
        <v>-14467.050000000001</v>
      </c>
      <c r="J43" s="2"/>
      <c r="K43" s="2"/>
    </row>
    <row r="44" spans="1:11" ht="12.75">
      <c r="A44" s="3" t="s">
        <v>995</v>
      </c>
      <c r="B44" s="3">
        <f aca="true" t="shared" si="10" ref="B44:G44">+B41+B43</f>
        <v>69919.40000000002</v>
      </c>
      <c r="C44" s="3">
        <f t="shared" si="10"/>
        <v>-58569.40000000001</v>
      </c>
      <c r="D44" s="3">
        <f t="shared" si="10"/>
        <v>-23974.199999999997</v>
      </c>
      <c r="E44" s="3">
        <f t="shared" si="10"/>
        <v>0</v>
      </c>
      <c r="F44" s="3">
        <f t="shared" si="10"/>
        <v>2956.7999999999993</v>
      </c>
      <c r="G44" s="3">
        <f t="shared" si="10"/>
        <v>5583.650000000001</v>
      </c>
      <c r="H44" s="3"/>
      <c r="I44" s="3">
        <f>SUM(B44:G44)</f>
        <v>-4083.7499999999827</v>
      </c>
      <c r="J44" s="2"/>
      <c r="K44" s="2"/>
    </row>
    <row r="45" spans="2:11" ht="12.75">
      <c r="B45" s="109"/>
      <c r="C45" s="109"/>
      <c r="D45" s="109"/>
      <c r="E45" s="109"/>
      <c r="F45" s="3"/>
      <c r="G45" s="3"/>
      <c r="H45" s="3"/>
      <c r="I45" s="3"/>
      <c r="J45" s="2"/>
      <c r="K45" s="2"/>
    </row>
    <row r="46" spans="1:9" ht="12.75">
      <c r="A46" s="3" t="s">
        <v>52</v>
      </c>
      <c r="B46" s="109"/>
      <c r="C46" s="109"/>
      <c r="D46" s="109"/>
      <c r="E46" s="109"/>
      <c r="F46" s="109"/>
      <c r="G46" s="109"/>
      <c r="H46" s="3">
        <f>+H26</f>
        <v>99999</v>
      </c>
      <c r="I46" s="3">
        <f>SUM(H46)</f>
        <v>99999</v>
      </c>
    </row>
    <row r="47" spans="2:8" ht="12.75">
      <c r="B47" s="109"/>
      <c r="C47" s="109"/>
      <c r="D47" s="109"/>
      <c r="E47" s="109"/>
      <c r="F47" s="109"/>
      <c r="G47" s="109"/>
      <c r="H47" s="109"/>
    </row>
  </sheetData>
  <printOptions/>
  <pageMargins left="0.49" right="0.41" top="0.7" bottom="0.71" header="0.5" footer="0.5"/>
  <pageSetup fitToHeight="1" fitToWidth="1" horizontalDpi="180" verticalDpi="180" orientation="portrait" paperSize="9" scale="87" r:id="rId3"/>
  <headerFooter alignWithMargins="0">
    <oddHeader>&amp;R&amp;D &amp;T</oddHead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K31"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60"/>
    </row>
    <row r="2" ht="12.75">
      <c r="A2" s="60"/>
    </row>
    <row r="4" ht="12.75">
      <c r="A4" s="65"/>
    </row>
    <row r="6" spans="2:15" ht="12.75">
      <c r="B6" s="23"/>
      <c r="C6" s="24"/>
      <c r="D6" s="70"/>
      <c r="E6" s="71"/>
      <c r="G6" s="190"/>
      <c r="H6" s="24"/>
      <c r="I6" s="70"/>
      <c r="J6" s="71"/>
      <c r="L6" s="190"/>
      <c r="M6" s="24"/>
      <c r="N6" s="70"/>
      <c r="O6" s="71"/>
    </row>
    <row r="7" spans="2:15" ht="12.75">
      <c r="B7" s="72"/>
      <c r="C7" s="61"/>
      <c r="D7" s="73"/>
      <c r="E7" s="74"/>
      <c r="G7" s="72"/>
      <c r="H7" s="61"/>
      <c r="I7" s="73"/>
      <c r="J7" s="74"/>
      <c r="L7" s="72"/>
      <c r="M7" s="61"/>
      <c r="N7" s="73"/>
      <c r="O7" s="74"/>
    </row>
    <row r="8" spans="2:15" ht="12.75">
      <c r="B8" s="75"/>
      <c r="C8" s="61"/>
      <c r="D8" s="61"/>
      <c r="E8" s="76"/>
      <c r="G8" s="75"/>
      <c r="H8" s="61"/>
      <c r="I8" s="61"/>
      <c r="J8" s="76"/>
      <c r="L8" s="75"/>
      <c r="M8" s="61"/>
      <c r="N8" s="61"/>
      <c r="O8" s="76"/>
    </row>
    <row r="9" spans="2:15" ht="12.75">
      <c r="B9" s="75"/>
      <c r="C9" s="61"/>
      <c r="D9" s="61"/>
      <c r="E9" s="76"/>
      <c r="G9" s="75"/>
      <c r="H9" s="61"/>
      <c r="I9" s="61"/>
      <c r="J9" s="76"/>
      <c r="L9" s="75"/>
      <c r="M9" s="61"/>
      <c r="N9" s="61"/>
      <c r="O9" s="76"/>
    </row>
    <row r="10" spans="2:15" ht="12.75">
      <c r="B10" s="75"/>
      <c r="C10" s="61"/>
      <c r="D10" s="61"/>
      <c r="E10" s="76"/>
      <c r="G10" s="75"/>
      <c r="H10" s="61"/>
      <c r="I10" s="61"/>
      <c r="J10" s="76"/>
      <c r="L10" s="75"/>
      <c r="M10" s="61"/>
      <c r="N10" s="61"/>
      <c r="O10" s="76"/>
    </row>
    <row r="11" spans="2:15" ht="12.75">
      <c r="B11" s="77"/>
      <c r="C11" s="49"/>
      <c r="D11" s="49"/>
      <c r="E11" s="78"/>
      <c r="G11" s="77"/>
      <c r="H11" s="85"/>
      <c r="I11" s="49"/>
      <c r="J11" s="78"/>
      <c r="L11" s="77"/>
      <c r="M11" s="49"/>
      <c r="N11" s="49"/>
      <c r="O11" s="78"/>
    </row>
    <row r="12" spans="2:15" ht="12.75">
      <c r="B12" s="77"/>
      <c r="C12" s="49"/>
      <c r="D12" s="49"/>
      <c r="E12" s="78"/>
      <c r="G12" s="77"/>
      <c r="H12" s="85"/>
      <c r="I12" s="49"/>
      <c r="J12" s="78"/>
      <c r="L12" s="77"/>
      <c r="M12" s="49"/>
      <c r="N12" s="49"/>
      <c r="O12" s="78"/>
    </row>
    <row r="13" spans="2:15" ht="12.75">
      <c r="B13" s="77"/>
      <c r="C13" s="49"/>
      <c r="D13" s="49"/>
      <c r="E13" s="78"/>
      <c r="G13" s="77"/>
      <c r="H13" s="85"/>
      <c r="I13" s="49"/>
      <c r="J13" s="78"/>
      <c r="L13" s="77"/>
      <c r="M13" s="49"/>
      <c r="N13" s="49"/>
      <c r="O13" s="78"/>
    </row>
    <row r="14" spans="2:15" ht="12.75">
      <c r="B14" s="77"/>
      <c r="C14" s="49"/>
      <c r="D14" s="49"/>
      <c r="E14" s="78"/>
      <c r="G14" s="77"/>
      <c r="J14" s="78"/>
      <c r="L14" s="77"/>
      <c r="M14" s="49"/>
      <c r="N14" s="49"/>
      <c r="O14" s="78"/>
    </row>
    <row r="15" spans="2:15" ht="12.75">
      <c r="B15" s="77"/>
      <c r="C15" s="49"/>
      <c r="D15" s="49"/>
      <c r="E15" s="78"/>
      <c r="G15" s="77"/>
      <c r="H15" s="189"/>
      <c r="I15" s="188"/>
      <c r="J15" s="78"/>
      <c r="L15" s="77"/>
      <c r="M15" s="49"/>
      <c r="N15" s="49"/>
      <c r="O15" s="78"/>
    </row>
    <row r="16" spans="2:15" ht="12.75">
      <c r="B16" s="77"/>
      <c r="C16" s="49"/>
      <c r="D16" s="49"/>
      <c r="E16" s="78"/>
      <c r="G16" s="77"/>
      <c r="H16" s="85"/>
      <c r="I16" s="49"/>
      <c r="J16" s="78"/>
      <c r="L16" s="77"/>
      <c r="M16" s="49"/>
      <c r="N16" s="49"/>
      <c r="O16" s="78"/>
    </row>
    <row r="17" spans="2:15" ht="12.75">
      <c r="B17" s="77"/>
      <c r="C17" s="49"/>
      <c r="D17" s="49"/>
      <c r="E17" s="78"/>
      <c r="G17" s="77"/>
      <c r="H17" s="85"/>
      <c r="I17" s="49"/>
      <c r="J17" s="78"/>
      <c r="L17" s="77"/>
      <c r="M17" s="49"/>
      <c r="N17" s="49"/>
      <c r="O17" s="78"/>
    </row>
    <row r="18" spans="2:15" ht="12.75">
      <c r="B18" s="77"/>
      <c r="C18" s="49"/>
      <c r="D18" s="49"/>
      <c r="E18" s="78"/>
      <c r="G18" s="77"/>
      <c r="H18" s="85"/>
      <c r="I18" s="49"/>
      <c r="J18" s="78"/>
      <c r="L18" s="77"/>
      <c r="M18" s="49"/>
      <c r="N18" s="49"/>
      <c r="O18" s="78"/>
    </row>
    <row r="19" spans="2:15" ht="12.75">
      <c r="B19" s="77"/>
      <c r="C19" s="49"/>
      <c r="D19" s="49"/>
      <c r="E19" s="78"/>
      <c r="G19" s="77"/>
      <c r="H19" s="189"/>
      <c r="I19" s="188"/>
      <c r="J19" s="78"/>
      <c r="L19" s="77"/>
      <c r="M19" s="49"/>
      <c r="N19" s="49"/>
      <c r="O19" s="78"/>
    </row>
    <row r="20" spans="2:15" ht="12.75">
      <c r="B20" s="77"/>
      <c r="C20" s="49"/>
      <c r="D20" s="49"/>
      <c r="E20" s="78"/>
      <c r="G20" s="77"/>
      <c r="H20" s="85"/>
      <c r="I20" s="49"/>
      <c r="J20" s="78"/>
      <c r="L20" s="77"/>
      <c r="M20" s="49"/>
      <c r="N20" s="49"/>
      <c r="O20" s="78"/>
    </row>
    <row r="21" spans="2:15" ht="12.75">
      <c r="B21" s="77"/>
      <c r="C21" s="49"/>
      <c r="D21" s="49"/>
      <c r="E21" s="78"/>
      <c r="G21" s="77"/>
      <c r="H21" s="85"/>
      <c r="I21" s="49"/>
      <c r="J21" s="78"/>
      <c r="L21" s="77"/>
      <c r="M21" s="49"/>
      <c r="N21" s="49"/>
      <c r="O21" s="78"/>
    </row>
    <row r="22" spans="2:15" ht="12.75">
      <c r="B22" s="77"/>
      <c r="C22" s="49"/>
      <c r="D22" s="49"/>
      <c r="E22" s="78"/>
      <c r="G22" s="77"/>
      <c r="H22" s="85"/>
      <c r="I22" s="49"/>
      <c r="J22" s="78"/>
      <c r="L22" s="77"/>
      <c r="M22" s="49"/>
      <c r="N22" s="49"/>
      <c r="O22" s="78"/>
    </row>
    <row r="23" spans="2:15" ht="12.75">
      <c r="B23" s="77"/>
      <c r="C23" s="49"/>
      <c r="D23" s="49"/>
      <c r="E23" s="78"/>
      <c r="G23" s="77"/>
      <c r="H23" s="85"/>
      <c r="I23" s="49"/>
      <c r="J23" s="78"/>
      <c r="L23" s="77"/>
      <c r="M23" s="49"/>
      <c r="N23" s="49"/>
      <c r="O23" s="78"/>
    </row>
    <row r="24" spans="2:15" ht="12.75">
      <c r="B24" s="77"/>
      <c r="C24" s="49"/>
      <c r="D24" s="49"/>
      <c r="E24" s="78"/>
      <c r="G24" s="77"/>
      <c r="H24" s="189"/>
      <c r="I24" s="188"/>
      <c r="J24" s="78"/>
      <c r="L24" s="77"/>
      <c r="M24" s="49"/>
      <c r="N24" s="49"/>
      <c r="O24" s="78"/>
    </row>
    <row r="25" spans="2:15" ht="12.75">
      <c r="B25" s="77"/>
      <c r="C25" s="49"/>
      <c r="D25" s="49"/>
      <c r="E25" s="78"/>
      <c r="G25" s="77"/>
      <c r="H25" s="85"/>
      <c r="I25" s="49"/>
      <c r="J25" s="78"/>
      <c r="L25" s="77"/>
      <c r="M25" s="49"/>
      <c r="N25" s="49"/>
      <c r="O25" s="78"/>
    </row>
    <row r="26" spans="2:15" ht="12.75">
      <c r="B26" s="77"/>
      <c r="C26" s="49"/>
      <c r="D26" s="49"/>
      <c r="E26" s="78"/>
      <c r="G26" s="77"/>
      <c r="H26" s="85"/>
      <c r="I26" s="49"/>
      <c r="J26" s="78"/>
      <c r="L26" s="77"/>
      <c r="M26" s="49"/>
      <c r="N26" s="49"/>
      <c r="O26" s="78"/>
    </row>
    <row r="27" spans="2:15" ht="12.75">
      <c r="B27" s="77"/>
      <c r="C27" s="49"/>
      <c r="D27" s="49"/>
      <c r="E27" s="78"/>
      <c r="G27" s="77"/>
      <c r="H27" s="85"/>
      <c r="I27" s="49"/>
      <c r="J27" s="78"/>
      <c r="L27" s="77"/>
      <c r="M27" s="49"/>
      <c r="N27" s="49"/>
      <c r="O27" s="78"/>
    </row>
    <row r="28" spans="2:15" ht="12.75">
      <c r="B28" s="46"/>
      <c r="C28" s="61"/>
      <c r="D28" s="64"/>
      <c r="E28" s="47"/>
      <c r="G28" s="46"/>
      <c r="H28" s="61"/>
      <c r="I28" s="64"/>
      <c r="J28" s="47"/>
      <c r="L28" s="46"/>
      <c r="M28" s="61"/>
      <c r="N28" s="64"/>
      <c r="O28" s="47"/>
    </row>
    <row r="29" spans="2:15" ht="12.75">
      <c r="B29" s="75"/>
      <c r="C29" s="61"/>
      <c r="D29" s="61"/>
      <c r="E29" s="76"/>
      <c r="G29" s="75"/>
      <c r="H29" s="61"/>
      <c r="I29" s="61"/>
      <c r="J29" s="82"/>
      <c r="L29" s="75"/>
      <c r="M29" s="61"/>
      <c r="N29" s="61"/>
      <c r="O29" s="76"/>
    </row>
    <row r="30" spans="2:15" ht="12.75">
      <c r="B30" s="75"/>
      <c r="C30" s="61"/>
      <c r="D30" s="61"/>
      <c r="E30" s="76"/>
      <c r="G30" s="75"/>
      <c r="H30" s="61"/>
      <c r="I30" s="61"/>
      <c r="J30" s="76"/>
      <c r="L30" s="75"/>
      <c r="M30" s="61"/>
      <c r="N30" s="61"/>
      <c r="O30" s="76"/>
    </row>
    <row r="31" spans="2:15" ht="12.75">
      <c r="B31" s="75"/>
      <c r="C31" s="61"/>
      <c r="D31" s="61"/>
      <c r="E31" s="76"/>
      <c r="G31" s="75"/>
      <c r="H31" s="61"/>
      <c r="I31" s="61"/>
      <c r="J31" s="76"/>
      <c r="L31" s="75"/>
      <c r="M31" s="61"/>
      <c r="N31" s="61"/>
      <c r="O31" s="76"/>
    </row>
    <row r="32" spans="2:15" ht="12.75">
      <c r="B32" s="77"/>
      <c r="C32" s="49"/>
      <c r="D32" s="49"/>
      <c r="E32" s="78"/>
      <c r="G32" s="77"/>
      <c r="H32" s="49"/>
      <c r="I32" s="49"/>
      <c r="J32" s="78"/>
      <c r="L32" s="77"/>
      <c r="M32" s="49"/>
      <c r="N32" s="49"/>
      <c r="O32" s="78"/>
    </row>
    <row r="33" spans="2:15" ht="12.75">
      <c r="B33" s="77"/>
      <c r="C33" s="49"/>
      <c r="D33" s="49"/>
      <c r="E33" s="78"/>
      <c r="G33" s="77"/>
      <c r="H33" s="49"/>
      <c r="I33" s="49"/>
      <c r="J33" s="78"/>
      <c r="L33" s="77"/>
      <c r="M33" s="49"/>
      <c r="N33" s="49"/>
      <c r="O33" s="78"/>
    </row>
    <row r="34" spans="2:15" ht="12.75">
      <c r="B34" s="77"/>
      <c r="C34" s="49"/>
      <c r="D34" s="49"/>
      <c r="E34" s="78"/>
      <c r="G34" s="77"/>
      <c r="H34" s="49"/>
      <c r="I34" s="49"/>
      <c r="J34" s="78"/>
      <c r="L34" s="77"/>
      <c r="M34" s="49"/>
      <c r="N34" s="49"/>
      <c r="O34" s="78"/>
    </row>
    <row r="35" spans="2:15" ht="12.75">
      <c r="B35" s="77"/>
      <c r="C35" s="49"/>
      <c r="D35" s="49"/>
      <c r="E35" s="78"/>
      <c r="G35" s="77"/>
      <c r="H35" s="49"/>
      <c r="I35" s="49"/>
      <c r="J35" s="78"/>
      <c r="L35" s="77"/>
      <c r="M35" s="49"/>
      <c r="N35" s="49"/>
      <c r="O35" s="78"/>
    </row>
    <row r="36" spans="2:15" ht="12.75">
      <c r="B36" s="77"/>
      <c r="C36" s="49"/>
      <c r="D36" s="49"/>
      <c r="E36" s="78"/>
      <c r="G36" s="77"/>
      <c r="H36" s="49"/>
      <c r="I36" s="49"/>
      <c r="J36" s="78"/>
      <c r="L36" s="77"/>
      <c r="M36" s="49"/>
      <c r="N36" s="49"/>
      <c r="O36" s="78"/>
    </row>
    <row r="37" spans="2:15" ht="12.75">
      <c r="B37" s="77"/>
      <c r="C37" s="49"/>
      <c r="D37" s="49"/>
      <c r="E37" s="78"/>
      <c r="G37" s="77"/>
      <c r="H37" s="49"/>
      <c r="I37" s="49"/>
      <c r="J37" s="78"/>
      <c r="L37" s="77"/>
      <c r="M37" s="49"/>
      <c r="N37" s="49"/>
      <c r="O37" s="78"/>
    </row>
    <row r="38" spans="2:15" ht="12.75">
      <c r="B38" s="77"/>
      <c r="C38" s="49"/>
      <c r="D38" s="49"/>
      <c r="E38" s="78"/>
      <c r="G38" s="77"/>
      <c r="H38" s="49"/>
      <c r="I38" s="49"/>
      <c r="J38" s="78"/>
      <c r="L38" s="77"/>
      <c r="M38" s="49"/>
      <c r="N38" s="49"/>
      <c r="O38" s="78"/>
    </row>
    <row r="39" spans="2:15" ht="12.75">
      <c r="B39" s="77"/>
      <c r="C39" s="49"/>
      <c r="D39" s="49"/>
      <c r="E39" s="78"/>
      <c r="G39" s="77"/>
      <c r="H39" s="49"/>
      <c r="I39" s="49"/>
      <c r="J39" s="78"/>
      <c r="L39" s="77"/>
      <c r="M39" s="49"/>
      <c r="N39" s="49"/>
      <c r="O39" s="78"/>
    </row>
    <row r="40" spans="2:15" ht="12.75">
      <c r="B40" s="77"/>
      <c r="C40" s="49"/>
      <c r="D40" s="49"/>
      <c r="E40" s="78"/>
      <c r="G40" s="77"/>
      <c r="H40" s="49"/>
      <c r="I40" s="49"/>
      <c r="J40" s="78"/>
      <c r="L40" s="77"/>
      <c r="M40" s="49"/>
      <c r="N40" s="49"/>
      <c r="O40" s="78"/>
    </row>
    <row r="41" spans="2:15" ht="12.75">
      <c r="B41" s="77"/>
      <c r="C41" s="49"/>
      <c r="D41" s="49"/>
      <c r="E41" s="78"/>
      <c r="G41" s="77"/>
      <c r="H41" s="49"/>
      <c r="I41" s="49"/>
      <c r="J41" s="78"/>
      <c r="L41" s="77"/>
      <c r="M41" s="49"/>
      <c r="N41" s="49"/>
      <c r="O41" s="78"/>
    </row>
    <row r="42" spans="2:15" ht="12.75">
      <c r="B42" s="77"/>
      <c r="C42" s="49"/>
      <c r="D42" s="49"/>
      <c r="E42" s="78"/>
      <c r="G42" s="77"/>
      <c r="H42" s="49"/>
      <c r="I42" s="49"/>
      <c r="J42" s="78"/>
      <c r="L42" s="77"/>
      <c r="M42" s="49"/>
      <c r="N42" s="49"/>
      <c r="O42" s="78"/>
    </row>
    <row r="43" spans="2:15" ht="12.75">
      <c r="B43" s="77"/>
      <c r="C43" s="49"/>
      <c r="D43" s="49"/>
      <c r="E43" s="78"/>
      <c r="G43" s="77"/>
      <c r="H43" s="49"/>
      <c r="I43" s="49"/>
      <c r="J43" s="78"/>
      <c r="L43" s="77"/>
      <c r="M43" s="49"/>
      <c r="N43" s="49"/>
      <c r="O43" s="78"/>
    </row>
    <row r="44" spans="2:15" ht="12.75">
      <c r="B44" s="80"/>
      <c r="C44" s="61"/>
      <c r="D44" s="68"/>
      <c r="E44" s="81"/>
      <c r="G44" s="80"/>
      <c r="H44" s="61"/>
      <c r="I44" s="68"/>
      <c r="J44" s="81"/>
      <c r="L44" s="80"/>
      <c r="M44" s="61"/>
      <c r="N44" s="68"/>
      <c r="O44" s="81"/>
    </row>
    <row r="45" spans="2:15" ht="12.75">
      <c r="B45" s="75"/>
      <c r="C45" s="61"/>
      <c r="D45" s="84"/>
      <c r="E45" s="76"/>
      <c r="G45" s="75"/>
      <c r="H45" s="61"/>
      <c r="I45" s="61"/>
      <c r="J45" s="76"/>
      <c r="L45" s="75"/>
      <c r="M45" s="61"/>
      <c r="N45" s="61"/>
      <c r="O45" s="76"/>
    </row>
    <row r="46" spans="2:15" ht="12.75">
      <c r="B46" s="75"/>
      <c r="C46" s="61"/>
      <c r="D46" s="89"/>
      <c r="E46" s="76"/>
      <c r="G46" s="75"/>
      <c r="H46" s="61"/>
      <c r="I46" s="61"/>
      <c r="J46" s="76"/>
      <c r="L46" s="75"/>
      <c r="M46" s="61"/>
      <c r="N46" s="61"/>
      <c r="O46" s="76"/>
    </row>
    <row r="47" spans="2:15" ht="12.75">
      <c r="B47" s="75"/>
      <c r="C47" s="61"/>
      <c r="D47" s="61"/>
      <c r="E47" s="76"/>
      <c r="G47" s="75"/>
      <c r="H47" s="61"/>
      <c r="I47" s="61"/>
      <c r="J47" s="76"/>
      <c r="L47" s="75"/>
      <c r="M47" s="61"/>
      <c r="N47" s="61"/>
      <c r="O47" s="76"/>
    </row>
    <row r="48" spans="2:15" ht="12.75">
      <c r="B48" s="77"/>
      <c r="C48" s="49"/>
      <c r="D48" s="49"/>
      <c r="E48" s="78"/>
      <c r="G48" s="77"/>
      <c r="H48" s="49"/>
      <c r="I48" s="49"/>
      <c r="J48" s="78"/>
      <c r="L48" s="77"/>
      <c r="M48" s="49"/>
      <c r="N48" s="49"/>
      <c r="O48" s="78"/>
    </row>
    <row r="49" spans="2:15" ht="12.75">
      <c r="B49" s="77"/>
      <c r="E49" s="78"/>
      <c r="G49" s="77"/>
      <c r="H49" s="49"/>
      <c r="I49" s="49"/>
      <c r="J49" s="78"/>
      <c r="L49" s="77"/>
      <c r="M49" s="49"/>
      <c r="N49" s="49"/>
      <c r="O49" s="78"/>
    </row>
    <row r="50" spans="2:15" ht="12.75">
      <c r="B50" s="77"/>
      <c r="C50" s="49"/>
      <c r="D50" s="49"/>
      <c r="E50" s="78"/>
      <c r="G50" s="77"/>
      <c r="H50" s="49"/>
      <c r="I50" s="49"/>
      <c r="J50" s="78"/>
      <c r="L50" s="77"/>
      <c r="M50" s="49"/>
      <c r="N50" s="49"/>
      <c r="O50" s="78"/>
    </row>
    <row r="51" spans="2:15" ht="12.75">
      <c r="B51" s="77"/>
      <c r="C51" s="49"/>
      <c r="D51" s="49"/>
      <c r="E51" s="78"/>
      <c r="G51" s="77"/>
      <c r="H51" s="9"/>
      <c r="I51" s="1"/>
      <c r="J51" s="78"/>
      <c r="L51" s="77"/>
      <c r="M51" s="49"/>
      <c r="N51" s="49"/>
      <c r="O51" s="78"/>
    </row>
    <row r="52" spans="2:15" ht="12.75">
      <c r="B52" s="77"/>
      <c r="C52" s="49"/>
      <c r="D52" s="49"/>
      <c r="E52" s="78"/>
      <c r="G52" s="77"/>
      <c r="H52" s="9"/>
      <c r="I52" s="1"/>
      <c r="J52" s="78"/>
      <c r="L52" s="77"/>
      <c r="M52" s="49"/>
      <c r="N52" s="49"/>
      <c r="O52" s="78"/>
    </row>
    <row r="53" spans="2:15" ht="12.75">
      <c r="B53" s="77"/>
      <c r="C53" s="49"/>
      <c r="D53" s="49"/>
      <c r="E53" s="78"/>
      <c r="G53" s="77"/>
      <c r="J53" s="78"/>
      <c r="L53" s="77"/>
      <c r="M53" s="49"/>
      <c r="N53" s="49"/>
      <c r="O53" s="78"/>
    </row>
    <row r="54" spans="2:15" ht="12.75">
      <c r="B54" s="77"/>
      <c r="C54" s="49"/>
      <c r="D54" s="49"/>
      <c r="E54" s="78"/>
      <c r="G54" s="77"/>
      <c r="H54" s="49"/>
      <c r="I54" s="49"/>
      <c r="J54" s="78"/>
      <c r="L54" s="77"/>
      <c r="M54" s="49"/>
      <c r="N54" s="49"/>
      <c r="O54" s="78"/>
    </row>
    <row r="55" spans="2:15" ht="12.75">
      <c r="B55" s="77"/>
      <c r="C55" s="49"/>
      <c r="D55" s="49"/>
      <c r="E55" s="78"/>
      <c r="G55" s="77"/>
      <c r="H55" s="49"/>
      <c r="I55" s="49"/>
      <c r="J55" s="78"/>
      <c r="L55" s="77"/>
      <c r="M55" s="49"/>
      <c r="N55" s="49"/>
      <c r="O55" s="78"/>
    </row>
    <row r="56" spans="2:15" ht="12.75">
      <c r="B56" s="77"/>
      <c r="C56" s="49"/>
      <c r="D56" s="49"/>
      <c r="E56" s="78"/>
      <c r="G56" s="77"/>
      <c r="H56" s="49"/>
      <c r="I56" s="49"/>
      <c r="J56" s="78"/>
      <c r="L56" s="77"/>
      <c r="M56" s="49"/>
      <c r="N56" s="49"/>
      <c r="O56" s="78"/>
    </row>
    <row r="57" spans="2:15" ht="12.75">
      <c r="B57" s="77"/>
      <c r="C57" s="49"/>
      <c r="D57" s="49"/>
      <c r="E57" s="78"/>
      <c r="G57" s="77"/>
      <c r="H57" s="49"/>
      <c r="I57" s="49"/>
      <c r="J57" s="78"/>
      <c r="L57" s="77"/>
      <c r="M57" s="49"/>
      <c r="N57" s="49"/>
      <c r="O57" s="78"/>
    </row>
    <row r="58" spans="2:15" ht="12.75">
      <c r="B58" s="77"/>
      <c r="C58" s="49"/>
      <c r="D58" s="49"/>
      <c r="E58" s="78"/>
      <c r="G58" s="77"/>
      <c r="H58" s="49"/>
      <c r="I58" s="49"/>
      <c r="J58" s="78"/>
      <c r="L58" s="77"/>
      <c r="M58" s="49"/>
      <c r="N58" s="49"/>
      <c r="O58" s="78"/>
    </row>
    <row r="59" spans="2:15" ht="12.75">
      <c r="B59" s="79"/>
      <c r="C59" s="61"/>
      <c r="D59" s="66"/>
      <c r="E59" s="47"/>
      <c r="G59" s="46"/>
      <c r="H59" s="84"/>
      <c r="I59" s="64"/>
      <c r="J59" s="47"/>
      <c r="K59" s="67"/>
      <c r="L59" s="46"/>
      <c r="M59" s="84"/>
      <c r="N59" s="64"/>
      <c r="O59" s="47"/>
    </row>
    <row r="60" spans="2:15" ht="12.75">
      <c r="B60" s="75"/>
      <c r="C60" s="61"/>
      <c r="D60" s="61"/>
      <c r="E60" s="76"/>
      <c r="G60" s="75"/>
      <c r="H60" s="61"/>
      <c r="I60" s="61"/>
      <c r="J60" s="82"/>
      <c r="L60" s="75"/>
      <c r="M60" s="61"/>
      <c r="N60" s="61"/>
      <c r="O60" s="76"/>
    </row>
    <row r="61" spans="2:15" ht="12.75">
      <c r="B61" s="75"/>
      <c r="C61" s="61"/>
      <c r="D61" s="84"/>
      <c r="E61" s="82"/>
      <c r="G61" s="75"/>
      <c r="H61" s="61"/>
      <c r="I61" s="61"/>
      <c r="J61" s="82"/>
      <c r="L61" s="75"/>
      <c r="M61" s="61"/>
      <c r="N61" s="61"/>
      <c r="O61" s="82"/>
    </row>
    <row r="62" spans="2:15" ht="12.75">
      <c r="B62" s="75"/>
      <c r="C62" s="61"/>
      <c r="D62" s="61"/>
      <c r="E62" s="82"/>
      <c r="G62" s="75"/>
      <c r="H62" s="61"/>
      <c r="I62" s="61"/>
      <c r="J62" s="82"/>
      <c r="L62" s="75"/>
      <c r="M62" s="61"/>
      <c r="N62" s="61"/>
      <c r="O62" s="82"/>
    </row>
    <row r="63" spans="2:15" ht="12.75">
      <c r="B63" s="75"/>
      <c r="C63" s="61"/>
      <c r="D63" s="61"/>
      <c r="E63" s="78"/>
      <c r="G63" s="75"/>
      <c r="H63" s="61"/>
      <c r="I63" s="49"/>
      <c r="J63" s="78"/>
      <c r="L63" s="75"/>
      <c r="M63" s="61"/>
      <c r="N63" s="49"/>
      <c r="O63" s="78"/>
    </row>
    <row r="64" spans="2:15" ht="12.75">
      <c r="B64" s="75"/>
      <c r="C64" s="61"/>
      <c r="D64" s="61"/>
      <c r="E64" s="76"/>
      <c r="G64" s="75"/>
      <c r="H64" s="61"/>
      <c r="I64" s="61"/>
      <c r="J64" s="76"/>
      <c r="L64" s="75"/>
      <c r="M64" s="61"/>
      <c r="N64" s="61"/>
      <c r="O64" s="76"/>
    </row>
    <row r="65" spans="2:15" ht="13.5" thickBot="1">
      <c r="B65" s="25"/>
      <c r="C65" s="26"/>
      <c r="D65" s="26"/>
      <c r="E65" s="83"/>
      <c r="G65" s="25"/>
      <c r="H65" s="26"/>
      <c r="I65" s="26"/>
      <c r="J65" s="83"/>
      <c r="L65" s="25"/>
      <c r="M65" s="26"/>
      <c r="N65" s="26"/>
      <c r="O65" s="83"/>
    </row>
    <row r="66" ht="13.5" thickTop="1"/>
    <row r="67" spans="5:15" ht="12.75">
      <c r="E67" s="1"/>
      <c r="G67" s="1"/>
      <c r="J67" s="1"/>
      <c r="O67" s="1"/>
    </row>
    <row r="68" spans="3:15" ht="12.75">
      <c r="C68" s="69"/>
      <c r="E68" s="191"/>
      <c r="G68" s="49"/>
      <c r="J68" s="18"/>
      <c r="O68" s="191"/>
    </row>
    <row r="69" spans="1:15" ht="12.75">
      <c r="A69" s="174"/>
      <c r="C69" s="69"/>
      <c r="D69" s="211"/>
      <c r="E69" s="191"/>
      <c r="G69" s="49"/>
      <c r="J69" s="18"/>
      <c r="O69" s="67"/>
    </row>
    <row r="70" ht="12.75">
      <c r="G70" s="49"/>
    </row>
  </sheetData>
  <printOptions/>
  <pageMargins left="0.59" right="0.54" top="0.24" bottom="0.24" header="0.24" footer="0.24"/>
  <pageSetup fitToHeight="1" fitToWidth="1" horizontalDpi="300" verticalDpi="300" orientation="landscape" paperSize="9" scale="69" r:id="rId1"/>
  <headerFooter alignWithMargins="0">
    <oddHeader>&amp;R&amp;D  &amp;T</oddHeader>
  </headerFooter>
</worksheet>
</file>

<file path=xl/worksheets/sheet35.xml><?xml version="1.0" encoding="utf-8"?>
<worksheet xmlns="http://schemas.openxmlformats.org/spreadsheetml/2006/main" xmlns:r="http://schemas.openxmlformats.org/officeDocument/2006/relationships">
  <dimension ref="A1:M172"/>
  <sheetViews>
    <sheetView zoomScale="60" zoomScaleNormal="60" workbookViewId="0" topLeftCell="A127">
      <selection activeCell="E169" sqref="E169"/>
    </sheetView>
  </sheetViews>
  <sheetFormatPr defaultColWidth="9.140625" defaultRowHeight="12.75"/>
  <cols>
    <col min="1" max="1" width="18.140625" style="2" customWidth="1"/>
    <col min="2" max="2" width="17.8515625" style="2" customWidth="1"/>
    <col min="3" max="3" width="22.140625" style="2" customWidth="1"/>
    <col min="4" max="4" width="18.140625" style="2" customWidth="1"/>
    <col min="5" max="5" width="15.28125" style="2" customWidth="1"/>
    <col min="6" max="6" width="3.8515625" style="2" customWidth="1"/>
    <col min="7" max="7" width="16.7109375" style="2" customWidth="1"/>
    <col min="8" max="8" width="18.421875" style="2" customWidth="1"/>
    <col min="9" max="16384" width="8.8515625" style="2" customWidth="1"/>
  </cols>
  <sheetData>
    <row r="1" spans="1:7" ht="15">
      <c r="A1" s="283" t="s">
        <v>28</v>
      </c>
      <c r="B1" s="284"/>
      <c r="C1" s="284"/>
      <c r="D1" s="284"/>
      <c r="E1" s="284"/>
      <c r="F1" s="284"/>
      <c r="G1" s="671">
        <v>39021</v>
      </c>
    </row>
    <row r="2" spans="1:7" ht="15">
      <c r="A2" s="283"/>
      <c r="B2" s="284"/>
      <c r="C2" s="284"/>
      <c r="D2" s="284"/>
      <c r="E2" s="284"/>
      <c r="F2" s="284"/>
      <c r="G2" s="671"/>
    </row>
    <row r="3" spans="1:7" ht="15">
      <c r="A3" s="828" t="s">
        <v>458</v>
      </c>
      <c r="B3" s="284"/>
      <c r="C3" s="284"/>
      <c r="D3" s="284"/>
      <c r="E3" s="284"/>
      <c r="F3" s="284"/>
      <c r="G3" s="284"/>
    </row>
    <row r="4" spans="1:7" ht="15">
      <c r="A4" s="284" t="s">
        <v>1634</v>
      </c>
      <c r="B4" s="284"/>
      <c r="C4" s="284"/>
      <c r="D4" s="284"/>
      <c r="E4" s="284"/>
      <c r="F4" s="284"/>
      <c r="G4" s="284"/>
    </row>
    <row r="5" spans="1:7" ht="15">
      <c r="A5" s="285" t="s">
        <v>29</v>
      </c>
      <c r="B5" s="297" t="s">
        <v>517</v>
      </c>
      <c r="C5" s="297" t="s">
        <v>518</v>
      </c>
      <c r="D5" s="297" t="s">
        <v>292</v>
      </c>
      <c r="E5" s="286" t="s">
        <v>513</v>
      </c>
      <c r="F5" s="286"/>
      <c r="G5" s="286" t="s">
        <v>32</v>
      </c>
    </row>
    <row r="6" spans="1:7" ht="15">
      <c r="A6" s="285" t="s">
        <v>832</v>
      </c>
      <c r="B6" s="287"/>
      <c r="C6" s="287"/>
      <c r="D6" s="287"/>
      <c r="E6" s="287"/>
      <c r="F6" s="287"/>
      <c r="G6" s="287">
        <f aca="true" t="shared" si="0" ref="G6:G18">SUM(B6:E6)</f>
        <v>0</v>
      </c>
    </row>
    <row r="7" spans="1:7" ht="15">
      <c r="A7" s="285" t="s">
        <v>517</v>
      </c>
      <c r="B7" s="287"/>
      <c r="C7" s="287"/>
      <c r="D7" s="287"/>
      <c r="E7" s="341">
        <f>-+B13</f>
        <v>-708960</v>
      </c>
      <c r="F7" s="341"/>
      <c r="G7" s="287">
        <f t="shared" si="0"/>
        <v>-708960</v>
      </c>
    </row>
    <row r="8" spans="1:7" ht="15">
      <c r="A8" s="285"/>
      <c r="B8" s="287"/>
      <c r="C8" s="287"/>
      <c r="D8" s="287"/>
      <c r="E8" s="543"/>
      <c r="F8" s="543"/>
      <c r="G8" s="287">
        <f t="shared" si="0"/>
        <v>0</v>
      </c>
    </row>
    <row r="9" spans="1:7" ht="15">
      <c r="A9" s="285" t="s">
        <v>518</v>
      </c>
      <c r="B9" s="287"/>
      <c r="C9" s="287"/>
      <c r="D9" s="620">
        <v>30485306.3</v>
      </c>
      <c r="E9" s="336"/>
      <c r="F9" s="336"/>
      <c r="G9" s="287">
        <f t="shared" si="0"/>
        <v>30485306.3</v>
      </c>
    </row>
    <row r="10" spans="1:7" ht="15">
      <c r="A10" s="285"/>
      <c r="B10" s="287"/>
      <c r="C10" s="287"/>
      <c r="D10" s="287"/>
      <c r="E10" s="287"/>
      <c r="F10" s="287"/>
      <c r="G10" s="287">
        <f t="shared" si="0"/>
        <v>0</v>
      </c>
    </row>
    <row r="11" spans="1:7" ht="15">
      <c r="A11" s="285" t="s">
        <v>30</v>
      </c>
      <c r="B11" s="287"/>
      <c r="C11" s="287">
        <f>-+D9</f>
        <v>-30485306.3</v>
      </c>
      <c r="D11" s="287"/>
      <c r="E11" s="287"/>
      <c r="F11" s="287"/>
      <c r="G11" s="287">
        <f t="shared" si="0"/>
        <v>-30485306.3</v>
      </c>
    </row>
    <row r="12" spans="1:7" ht="15">
      <c r="A12" s="285"/>
      <c r="B12" s="287"/>
      <c r="C12" s="620"/>
      <c r="D12" s="287"/>
      <c r="E12" s="287"/>
      <c r="F12" s="287"/>
      <c r="G12" s="287">
        <f t="shared" si="0"/>
        <v>0</v>
      </c>
    </row>
    <row r="13" spans="1:7" ht="15">
      <c r="A13" s="285" t="s">
        <v>513</v>
      </c>
      <c r="B13" s="543">
        <v>708960</v>
      </c>
      <c r="C13" s="287"/>
      <c r="D13" s="287"/>
      <c r="E13" s="287"/>
      <c r="F13" s="287"/>
      <c r="G13" s="287">
        <f t="shared" si="0"/>
        <v>708960</v>
      </c>
    </row>
    <row r="14" spans="1:7" ht="15">
      <c r="A14" s="285"/>
      <c r="B14" s="287"/>
      <c r="C14" s="341"/>
      <c r="D14" s="287"/>
      <c r="E14" s="287"/>
      <c r="F14" s="287"/>
      <c r="G14" s="287">
        <f t="shared" si="0"/>
        <v>0</v>
      </c>
    </row>
    <row r="15" spans="1:7" ht="15" hidden="1">
      <c r="A15" s="285" t="s">
        <v>1024</v>
      </c>
      <c r="B15" s="287"/>
      <c r="C15" s="287"/>
      <c r="D15" s="287"/>
      <c r="E15" s="287"/>
      <c r="F15" s="287"/>
      <c r="G15" s="287">
        <f t="shared" si="0"/>
        <v>0</v>
      </c>
    </row>
    <row r="16" spans="1:7" ht="15" hidden="1">
      <c r="A16" s="285"/>
      <c r="B16" s="287"/>
      <c r="C16" s="287"/>
      <c r="D16" s="287"/>
      <c r="E16" s="287"/>
      <c r="F16" s="287"/>
      <c r="G16" s="287">
        <f t="shared" si="0"/>
        <v>0</v>
      </c>
    </row>
    <row r="17" spans="1:7" ht="15" hidden="1">
      <c r="A17" s="288" t="s">
        <v>31</v>
      </c>
      <c r="B17" s="287"/>
      <c r="C17" s="287"/>
      <c r="D17" s="287"/>
      <c r="E17" s="287"/>
      <c r="F17" s="287"/>
      <c r="G17" s="287">
        <f t="shared" si="0"/>
        <v>0</v>
      </c>
    </row>
    <row r="18" spans="1:7" ht="15" hidden="1">
      <c r="A18" s="285"/>
      <c r="B18" s="287"/>
      <c r="C18" s="287"/>
      <c r="D18" s="287"/>
      <c r="E18" s="287"/>
      <c r="F18" s="287"/>
      <c r="G18" s="287">
        <f t="shared" si="0"/>
        <v>0</v>
      </c>
    </row>
    <row r="19" spans="1:7" ht="15">
      <c r="A19" s="285" t="s">
        <v>1052</v>
      </c>
      <c r="B19" s="287"/>
      <c r="C19" s="287"/>
      <c r="D19" s="287"/>
      <c r="E19" s="287"/>
      <c r="F19" s="287"/>
      <c r="G19" s="287">
        <f>SUM(G6:G18)</f>
        <v>0</v>
      </c>
    </row>
    <row r="20" spans="1:7" ht="15">
      <c r="A20" s="284"/>
      <c r="B20" s="284"/>
      <c r="C20" s="284"/>
      <c r="D20" s="284"/>
      <c r="E20" s="284"/>
      <c r="F20" s="284"/>
      <c r="G20" s="284"/>
    </row>
    <row r="21" spans="1:7" ht="15">
      <c r="A21" s="289" t="s">
        <v>522</v>
      </c>
      <c r="B21" s="289">
        <f>+B7+B9+B11+B13+B15+B17</f>
        <v>708960</v>
      </c>
      <c r="C21" s="289"/>
      <c r="D21" s="289">
        <f>+D7+D9+D11+D13+D15+D17</f>
        <v>30485306.3</v>
      </c>
      <c r="E21" s="289"/>
      <c r="F21" s="289"/>
      <c r="G21" s="289">
        <f>SUM(B21:E21)</f>
        <v>31194266.3</v>
      </c>
    </row>
    <row r="22" spans="1:7" ht="15">
      <c r="A22" s="289" t="s">
        <v>33</v>
      </c>
      <c r="B22" s="289">
        <f>+B8+B10+B12+B14+B16+B18</f>
        <v>0</v>
      </c>
      <c r="C22" s="289">
        <f>+C11</f>
        <v>-30485306.3</v>
      </c>
      <c r="D22" s="289">
        <f>+D8+D10+D12+D14+D16+D18</f>
        <v>0</v>
      </c>
      <c r="E22" s="289">
        <f>+E7</f>
        <v>-708960</v>
      </c>
      <c r="F22" s="289"/>
      <c r="G22" s="289">
        <f>SUM(B22:E22)</f>
        <v>-31194266.3</v>
      </c>
    </row>
    <row r="23" spans="1:7" ht="15">
      <c r="A23" s="289" t="s">
        <v>1033</v>
      </c>
      <c r="B23" s="289"/>
      <c r="C23" s="289"/>
      <c r="D23" s="289"/>
      <c r="E23" s="289"/>
      <c r="F23" s="289"/>
      <c r="G23" s="289">
        <f>+G21+G22</f>
        <v>0</v>
      </c>
    </row>
    <row r="24" spans="1:7" ht="15">
      <c r="A24" s="289" t="s">
        <v>34</v>
      </c>
      <c r="B24" s="290">
        <f>SUM(B25:B25)</f>
        <v>70896</v>
      </c>
      <c r="C24" s="289"/>
      <c r="D24" s="289">
        <v>0</v>
      </c>
      <c r="E24" s="289"/>
      <c r="F24" s="289"/>
      <c r="G24" s="289">
        <f>SUM(B24:E24)</f>
        <v>70896</v>
      </c>
    </row>
    <row r="25" spans="1:7" ht="15">
      <c r="A25" s="824" t="s">
        <v>331</v>
      </c>
      <c r="B25" s="824">
        <f>B21*0.1</f>
        <v>70896</v>
      </c>
      <c r="C25" s="289"/>
      <c r="D25" s="284"/>
      <c r="E25" s="284"/>
      <c r="F25" s="284"/>
      <c r="G25" s="289"/>
    </row>
    <row r="26" spans="1:7" ht="15">
      <c r="A26" s="292"/>
      <c r="B26" s="291"/>
      <c r="C26" s="292"/>
      <c r="D26" s="292"/>
      <c r="E26" s="292"/>
      <c r="F26" s="292"/>
      <c r="G26" s="290"/>
    </row>
    <row r="27" spans="1:8" ht="15">
      <c r="A27" s="292" t="s">
        <v>446</v>
      </c>
      <c r="B27" s="291"/>
      <c r="C27" s="292"/>
      <c r="D27" s="292"/>
      <c r="E27" s="292"/>
      <c r="F27" s="292"/>
      <c r="G27" s="290">
        <f>+G21+G24</f>
        <v>31265162.3</v>
      </c>
      <c r="H27" s="2" t="s">
        <v>805</v>
      </c>
    </row>
    <row r="28" spans="1:8" ht="15">
      <c r="A28" s="292" t="s">
        <v>447</v>
      </c>
      <c r="B28" s="291"/>
      <c r="C28" s="292"/>
      <c r="D28" s="292"/>
      <c r="E28" s="292"/>
      <c r="F28" s="292"/>
      <c r="G28" s="290">
        <f>+G22-G24</f>
        <v>-31265162.3</v>
      </c>
      <c r="H28" s="2" t="s">
        <v>805</v>
      </c>
    </row>
    <row r="29" spans="1:7" ht="15">
      <c r="A29" s="292"/>
      <c r="B29" s="291"/>
      <c r="C29" s="292"/>
      <c r="D29" s="292"/>
      <c r="E29" s="292"/>
      <c r="F29" s="292"/>
      <c r="G29" s="290"/>
    </row>
    <row r="30" spans="1:7" ht="12.75">
      <c r="A30"/>
      <c r="B30" s="291"/>
      <c r="C30"/>
      <c r="D30"/>
      <c r="E30"/>
      <c r="F30"/>
      <c r="G30"/>
    </row>
    <row r="31" spans="1:13" ht="15">
      <c r="A31" s="829" t="s">
        <v>440</v>
      </c>
      <c r="B31" s="830"/>
      <c r="C31" s="293"/>
      <c r="D31" s="293"/>
      <c r="E31" s="293"/>
      <c r="F31" s="293"/>
      <c r="G31" s="831"/>
      <c r="H31" s="293"/>
      <c r="I31" s="293"/>
      <c r="J31" s="293"/>
      <c r="K31" s="293"/>
      <c r="L31" s="293"/>
      <c r="M31" s="293"/>
    </row>
    <row r="32" spans="1:13" ht="15">
      <c r="A32" s="294"/>
      <c r="B32" s="295"/>
      <c r="C32" s="294"/>
      <c r="D32" s="825" t="s">
        <v>522</v>
      </c>
      <c r="E32" s="825" t="s">
        <v>523</v>
      </c>
      <c r="F32" s="825"/>
      <c r="G32" s="294"/>
      <c r="H32" s="293"/>
      <c r="I32" s="293"/>
      <c r="J32" s="293"/>
      <c r="K32" s="293"/>
      <c r="L32" s="293"/>
      <c r="M32" s="293"/>
    </row>
    <row r="33" spans="1:13" ht="15">
      <c r="A33" s="293"/>
      <c r="B33" s="293"/>
      <c r="C33" s="293"/>
      <c r="D33" s="825" t="s">
        <v>521</v>
      </c>
      <c r="E33" s="825" t="s">
        <v>521</v>
      </c>
      <c r="F33" s="825"/>
      <c r="G33" s="293"/>
      <c r="H33" s="293"/>
      <c r="I33" s="293"/>
      <c r="J33" s="293"/>
      <c r="K33" s="293"/>
      <c r="L33" s="293"/>
      <c r="M33" s="293"/>
    </row>
    <row r="34" spans="1:13" ht="15">
      <c r="A34" s="293" t="s">
        <v>513</v>
      </c>
      <c r="B34" s="293"/>
      <c r="C34" s="293"/>
      <c r="D34" s="832">
        <f>+'P&amp;L'!D9</f>
        <v>1056.506</v>
      </c>
      <c r="E34" s="832">
        <f>+'P&amp;L'!D12</f>
        <v>-779.856</v>
      </c>
      <c r="F34" s="832"/>
      <c r="G34" s="293"/>
      <c r="H34" s="293"/>
      <c r="I34" s="293"/>
      <c r="J34" s="293"/>
      <c r="K34" s="293"/>
      <c r="L34" s="293"/>
      <c r="M34" s="293"/>
    </row>
    <row r="35" spans="1:13" ht="15">
      <c r="A35" s="293" t="s">
        <v>517</v>
      </c>
      <c r="B35" s="293"/>
      <c r="C35" s="293"/>
      <c r="D35" s="833">
        <f>+'P&amp;L'!I9</f>
        <v>816.608</v>
      </c>
      <c r="E35" s="833">
        <f>+'P&amp;L'!I12</f>
        <v>-1108.396</v>
      </c>
      <c r="F35" s="833"/>
      <c r="G35" s="293"/>
      <c r="H35" s="293"/>
      <c r="I35" s="293"/>
      <c r="J35" s="293"/>
      <c r="K35" s="293"/>
      <c r="L35" s="293"/>
      <c r="M35" s="293"/>
    </row>
    <row r="36" spans="1:13" ht="15">
      <c r="A36" s="293" t="s">
        <v>518</v>
      </c>
      <c r="B36" s="293"/>
      <c r="C36" s="293"/>
      <c r="D36" s="833">
        <f>+'P&amp;L'!K9</f>
        <v>199914.312</v>
      </c>
      <c r="E36" s="833">
        <f>+'P&amp;L'!K12</f>
        <v>-152816.679</v>
      </c>
      <c r="F36" s="833"/>
      <c r="G36" s="293"/>
      <c r="H36" s="293"/>
      <c r="I36" s="293"/>
      <c r="J36" s="293"/>
      <c r="K36" s="293"/>
      <c r="L36" s="293"/>
      <c r="M36" s="293"/>
    </row>
    <row r="37" spans="1:13" ht="15">
      <c r="A37" s="293" t="s">
        <v>292</v>
      </c>
      <c r="B37" s="293"/>
      <c r="C37" s="293"/>
      <c r="D37" s="833">
        <f>+'P&amp;L'!L9</f>
        <v>44037.889</v>
      </c>
      <c r="E37" s="833">
        <f>+'P&amp;L'!L12</f>
        <v>-39574.534999999996</v>
      </c>
      <c r="F37" s="833"/>
      <c r="G37" s="293"/>
      <c r="H37" s="293"/>
      <c r="I37" s="293"/>
      <c r="J37" s="293"/>
      <c r="K37" s="293"/>
      <c r="L37" s="293"/>
      <c r="M37" s="293"/>
    </row>
    <row r="38" spans="1:13" ht="15">
      <c r="A38" s="293" t="s">
        <v>1527</v>
      </c>
      <c r="B38" s="293"/>
      <c r="C38" s="293"/>
      <c r="D38" s="833">
        <f>+'P&amp;L'!R9</f>
        <v>1043.335</v>
      </c>
      <c r="E38" s="833">
        <f>+'P&amp;L'!R12</f>
        <v>-375.296</v>
      </c>
      <c r="F38" s="833"/>
      <c r="G38" s="293"/>
      <c r="H38" s="293"/>
      <c r="I38" s="293"/>
      <c r="J38" s="293"/>
      <c r="K38" s="293"/>
      <c r="L38" s="293"/>
      <c r="M38" s="293"/>
    </row>
    <row r="39" spans="1:13" ht="15">
      <c r="A39" s="293" t="s">
        <v>287</v>
      </c>
      <c r="B39" s="293"/>
      <c r="C39" s="293"/>
      <c r="D39" s="833">
        <f>+'P&amp;L'!S9</f>
        <v>122.675</v>
      </c>
      <c r="E39" s="833">
        <f>+'P&amp;L'!S12</f>
        <v>-57.693</v>
      </c>
      <c r="F39" s="833"/>
      <c r="G39" s="293"/>
      <c r="H39" s="293"/>
      <c r="I39" s="293"/>
      <c r="J39" s="293"/>
      <c r="K39" s="293"/>
      <c r="L39" s="293"/>
      <c r="M39" s="293"/>
    </row>
    <row r="40" spans="1:13" ht="15">
      <c r="A40" s="293" t="s">
        <v>444</v>
      </c>
      <c r="B40" s="293"/>
      <c r="C40" s="293"/>
      <c r="D40" s="834">
        <f>SUM(D34:D39)</f>
        <v>246991.32499999998</v>
      </c>
      <c r="E40" s="834">
        <f>SUM(E34:E39)</f>
        <v>-194712.45500000002</v>
      </c>
      <c r="F40" s="832"/>
      <c r="G40" s="293"/>
      <c r="H40" s="293"/>
      <c r="I40" s="293"/>
      <c r="J40" s="293"/>
      <c r="K40" s="293"/>
      <c r="L40" s="293"/>
      <c r="M40" s="293"/>
    </row>
    <row r="41" spans="1:13" ht="15">
      <c r="A41" s="293"/>
      <c r="B41" s="293"/>
      <c r="C41" s="293"/>
      <c r="D41" s="832"/>
      <c r="E41" s="832"/>
      <c r="F41" s="832"/>
      <c r="G41" s="293"/>
      <c r="H41" s="293"/>
      <c r="I41" s="293"/>
      <c r="J41" s="293"/>
      <c r="K41" s="293"/>
      <c r="L41" s="293"/>
      <c r="M41" s="293"/>
    </row>
    <row r="42" spans="1:13" ht="15">
      <c r="A42" s="293" t="s">
        <v>441</v>
      </c>
      <c r="B42" s="293"/>
      <c r="C42" s="293"/>
      <c r="D42" s="833"/>
      <c r="E42" s="833"/>
      <c r="F42" s="833"/>
      <c r="G42" s="293"/>
      <c r="H42" s="293"/>
      <c r="I42" s="293"/>
      <c r="J42" s="293"/>
      <c r="K42" s="293"/>
      <c r="L42" s="293"/>
      <c r="M42" s="293"/>
    </row>
    <row r="43" spans="1:13" ht="15">
      <c r="A43" s="835" t="s">
        <v>442</v>
      </c>
      <c r="B43" s="293"/>
      <c r="C43" s="293"/>
      <c r="D43" s="833">
        <f>-+B13/1000</f>
        <v>-708.96</v>
      </c>
      <c r="E43" s="833">
        <f>-+E7/1000</f>
        <v>708.96</v>
      </c>
      <c r="F43" s="833"/>
      <c r="G43" s="293"/>
      <c r="H43" s="293"/>
      <c r="I43" s="293"/>
      <c r="J43" s="293"/>
      <c r="K43" s="293"/>
      <c r="L43" s="293"/>
      <c r="M43" s="293"/>
    </row>
    <row r="44" spans="1:13" ht="15">
      <c r="A44" s="835" t="s">
        <v>457</v>
      </c>
      <c r="B44" s="293"/>
      <c r="C44" s="293"/>
      <c r="D44" s="833">
        <f>-+G24/1000</f>
        <v>-70.896</v>
      </c>
      <c r="E44" s="833">
        <f>+G24/1000</f>
        <v>70.896</v>
      </c>
      <c r="F44" s="833"/>
      <c r="G44" s="293"/>
      <c r="H44" s="293"/>
      <c r="I44" s="293"/>
      <c r="J44" s="293"/>
      <c r="K44" s="293"/>
      <c r="L44" s="293"/>
      <c r="M44" s="293"/>
    </row>
    <row r="45" spans="1:13" ht="15">
      <c r="A45" s="293" t="s">
        <v>443</v>
      </c>
      <c r="B45" s="293"/>
      <c r="C45" s="293"/>
      <c r="D45" s="833">
        <f>-+D9/1000</f>
        <v>-30485.3063</v>
      </c>
      <c r="E45" s="833">
        <f>-+C11/1000</f>
        <v>30485.3063</v>
      </c>
      <c r="F45" s="833"/>
      <c r="G45" s="293"/>
      <c r="H45" s="293"/>
      <c r="I45" s="293"/>
      <c r="J45" s="293"/>
      <c r="K45" s="293"/>
      <c r="L45" s="293"/>
      <c r="M45" s="293"/>
    </row>
    <row r="46" spans="1:13" ht="15">
      <c r="A46" s="293"/>
      <c r="B46" s="293"/>
      <c r="C46" s="293"/>
      <c r="D46" s="834">
        <f>SUM(D43:D45)</f>
        <v>-31265.1623</v>
      </c>
      <c r="E46" s="834">
        <f>SUM(E43:E45)</f>
        <v>31265.1623</v>
      </c>
      <c r="F46" s="832"/>
      <c r="G46" s="293"/>
      <c r="H46" s="293"/>
      <c r="I46" s="293"/>
      <c r="J46" s="293"/>
      <c r="K46" s="293"/>
      <c r="L46" s="293"/>
      <c r="M46" s="293"/>
    </row>
    <row r="47" spans="1:13" ht="15.75" thickBot="1">
      <c r="A47" s="293" t="s">
        <v>445</v>
      </c>
      <c r="B47" s="293"/>
      <c r="C47" s="293"/>
      <c r="D47" s="836">
        <f>+D40+D46</f>
        <v>215726.1627</v>
      </c>
      <c r="E47" s="836">
        <f>+E40+E46</f>
        <v>-163447.29270000002</v>
      </c>
      <c r="F47" s="832"/>
      <c r="G47" s="293"/>
      <c r="H47" s="293"/>
      <c r="I47" s="293"/>
      <c r="J47" s="293"/>
      <c r="K47" s="293"/>
      <c r="L47" s="293"/>
      <c r="M47" s="293"/>
    </row>
    <row r="48" spans="1:13" ht="15.75" thickTop="1">
      <c r="A48" s="293"/>
      <c r="B48" s="293"/>
      <c r="C48" s="293"/>
      <c r="D48" s="833"/>
      <c r="E48" s="833"/>
      <c r="F48" s="833"/>
      <c r="G48" s="293"/>
      <c r="H48" s="293"/>
      <c r="I48" s="293"/>
      <c r="J48" s="293"/>
      <c r="K48" s="293"/>
      <c r="L48" s="293"/>
      <c r="M48" s="293"/>
    </row>
    <row r="49" spans="1:13" ht="15.75" thickBot="1">
      <c r="A49" s="293" t="s">
        <v>590</v>
      </c>
      <c r="B49" s="293"/>
      <c r="C49" s="293"/>
      <c r="D49" s="1060">
        <f>+'P&amp;L'!Y9</f>
        <v>215726.1627</v>
      </c>
      <c r="E49" s="1060">
        <f>+'P&amp;L'!Y13</f>
        <v>-163447.29270000002</v>
      </c>
      <c r="F49" s="833"/>
      <c r="G49" s="293"/>
      <c r="H49" s="293"/>
      <c r="I49" s="293"/>
      <c r="J49" s="293"/>
      <c r="K49" s="293"/>
      <c r="L49" s="293"/>
      <c r="M49" s="293"/>
    </row>
    <row r="50" spans="1:13" ht="15.75" thickTop="1">
      <c r="A50" s="293"/>
      <c r="B50" s="293"/>
      <c r="C50" s="293"/>
      <c r="D50" s="833"/>
      <c r="E50" s="833"/>
      <c r="F50" s="833"/>
      <c r="G50" s="293"/>
      <c r="H50" s="293"/>
      <c r="I50" s="293"/>
      <c r="J50" s="293"/>
      <c r="K50" s="293"/>
      <c r="L50" s="293"/>
      <c r="M50" s="293"/>
    </row>
    <row r="51" spans="1:13" ht="15">
      <c r="A51" s="293"/>
      <c r="B51" s="293"/>
      <c r="C51" s="293"/>
      <c r="D51" s="833">
        <f>+D47-D49</f>
        <v>0</v>
      </c>
      <c r="E51" s="833">
        <f>+E47-E49</f>
        <v>0</v>
      </c>
      <c r="F51" s="833"/>
      <c r="G51" s="293"/>
      <c r="H51" s="293"/>
      <c r="I51" s="293"/>
      <c r="J51" s="293"/>
      <c r="K51" s="293"/>
      <c r="L51" s="293"/>
      <c r="M51" s="293"/>
    </row>
    <row r="52" spans="1:13" ht="15">
      <c r="A52" s="293"/>
      <c r="B52" s="293"/>
      <c r="C52" s="293"/>
      <c r="D52" s="833"/>
      <c r="E52" s="833"/>
      <c r="F52" s="833"/>
      <c r="G52" s="293"/>
      <c r="H52" s="293"/>
      <c r="I52" s="293"/>
      <c r="J52" s="293"/>
      <c r="K52" s="293"/>
      <c r="L52" s="293"/>
      <c r="M52" s="293"/>
    </row>
    <row r="53" spans="1:13" ht="15">
      <c r="A53" s="1062"/>
      <c r="B53" s="1062"/>
      <c r="C53" s="1062"/>
      <c r="D53" s="956"/>
      <c r="E53" s="956"/>
      <c r="F53" s="956"/>
      <c r="G53" s="1062"/>
      <c r="H53" s="1062"/>
      <c r="I53" s="293"/>
      <c r="J53" s="293"/>
      <c r="K53" s="293"/>
      <c r="L53" s="293"/>
      <c r="M53" s="293"/>
    </row>
    <row r="54" spans="1:13" ht="15">
      <c r="A54" s="837" t="s">
        <v>459</v>
      </c>
      <c r="B54" s="293"/>
      <c r="C54" s="293"/>
      <c r="D54" s="833"/>
      <c r="E54" s="833"/>
      <c r="F54" s="833"/>
      <c r="G54" s="293"/>
      <c r="H54" s="293"/>
      <c r="I54" s="293"/>
      <c r="J54" s="293"/>
      <c r="K54" s="293"/>
      <c r="L54" s="293"/>
      <c r="M54" s="293"/>
    </row>
    <row r="55" spans="1:13" ht="15">
      <c r="A55" s="837" t="s">
        <v>460</v>
      </c>
      <c r="B55" s="293"/>
      <c r="C55" s="293"/>
      <c r="D55" s="833"/>
      <c r="E55" s="833"/>
      <c r="F55" s="833"/>
      <c r="G55" s="293"/>
      <c r="H55" s="293"/>
      <c r="I55" s="293"/>
      <c r="J55" s="293"/>
      <c r="K55" s="293"/>
      <c r="L55" s="293"/>
      <c r="M55" s="293"/>
    </row>
    <row r="56" spans="1:13" ht="15">
      <c r="A56" s="837"/>
      <c r="B56" s="293"/>
      <c r="C56" s="293"/>
      <c r="D56" s="833"/>
      <c r="E56" s="838" t="s">
        <v>521</v>
      </c>
      <c r="F56" s="838"/>
      <c r="G56" s="945"/>
      <c r="H56" s="293"/>
      <c r="I56" s="293"/>
      <c r="J56" s="293"/>
      <c r="K56" s="293"/>
      <c r="L56" s="293"/>
      <c r="M56" s="293"/>
    </row>
    <row r="57" spans="1:13" ht="15">
      <c r="A57" s="293" t="s">
        <v>1333</v>
      </c>
      <c r="B57" s="293"/>
      <c r="C57" s="293"/>
      <c r="D57" s="833"/>
      <c r="E57" s="833">
        <f>+'P&amp;L'!B19</f>
        <v>120</v>
      </c>
      <c r="F57" s="833"/>
      <c r="G57" s="832"/>
      <c r="H57" s="293"/>
      <c r="I57" s="293"/>
      <c r="J57" s="293"/>
      <c r="K57" s="293"/>
      <c r="L57" s="293"/>
      <c r="M57" s="293"/>
    </row>
    <row r="58" spans="1:13" ht="15">
      <c r="A58" s="293" t="s">
        <v>1422</v>
      </c>
      <c r="B58" s="293"/>
      <c r="C58" s="293"/>
      <c r="D58" s="833"/>
      <c r="E58" s="833">
        <f>+'P&amp;L'!K19</f>
        <v>911.373</v>
      </c>
      <c r="F58" s="833"/>
      <c r="G58" s="832"/>
      <c r="H58" s="293"/>
      <c r="I58" s="293"/>
      <c r="J58" s="293"/>
      <c r="K58" s="293"/>
      <c r="L58" s="293"/>
      <c r="M58" s="293"/>
    </row>
    <row r="59" spans="1:13" ht="15">
      <c r="A59" s="293" t="s">
        <v>1482</v>
      </c>
      <c r="B59" s="293"/>
      <c r="C59" s="293"/>
      <c r="D59" s="833"/>
      <c r="E59" s="833">
        <f>+'P&amp;L'!O19</f>
        <v>50</v>
      </c>
      <c r="F59" s="833"/>
      <c r="G59" s="832"/>
      <c r="H59" s="293"/>
      <c r="I59" s="293"/>
      <c r="J59" s="293"/>
      <c r="K59" s="293"/>
      <c r="L59" s="293"/>
      <c r="M59" s="293"/>
    </row>
    <row r="60" spans="1:13" ht="15">
      <c r="A60" s="293"/>
      <c r="B60" s="293"/>
      <c r="C60" s="293"/>
      <c r="D60" s="293"/>
      <c r="E60" s="834">
        <f>SUM(E57:E59)</f>
        <v>1081.373</v>
      </c>
      <c r="F60" s="832"/>
      <c r="G60" s="832"/>
      <c r="H60" s="293"/>
      <c r="I60" s="293"/>
      <c r="J60" s="293"/>
      <c r="K60" s="293"/>
      <c r="L60" s="293"/>
      <c r="M60" s="293"/>
    </row>
    <row r="61" spans="1:13" ht="15">
      <c r="A61" s="293" t="s">
        <v>1334</v>
      </c>
      <c r="B61" s="293"/>
      <c r="C61" s="293"/>
      <c r="D61" s="832"/>
      <c r="E61" s="833">
        <f>-+je!C134/1000</f>
        <v>-120</v>
      </c>
      <c r="F61" s="944"/>
      <c r="G61" s="832"/>
      <c r="H61" s="293"/>
      <c r="I61" s="293"/>
      <c r="J61" s="293"/>
      <c r="K61" s="293"/>
      <c r="L61" s="293"/>
      <c r="M61" s="293"/>
    </row>
    <row r="62" spans="1:13" ht="15">
      <c r="A62" s="293" t="s">
        <v>464</v>
      </c>
      <c r="B62" s="293"/>
      <c r="C62" s="293"/>
      <c r="D62" s="946"/>
      <c r="E62" s="839">
        <f>SUM(E60:E61)</f>
        <v>961.373</v>
      </c>
      <c r="F62" s="832"/>
      <c r="G62" s="832"/>
      <c r="H62" s="293"/>
      <c r="I62" s="293"/>
      <c r="J62" s="293"/>
      <c r="K62" s="293"/>
      <c r="L62" s="293"/>
      <c r="M62" s="293"/>
    </row>
    <row r="63" spans="1:13" ht="15">
      <c r="A63" s="293"/>
      <c r="B63" s="293"/>
      <c r="C63" s="293"/>
      <c r="D63" s="293"/>
      <c r="E63" s="293"/>
      <c r="F63" s="293"/>
      <c r="G63" s="946"/>
      <c r="H63" s="293"/>
      <c r="I63" s="293"/>
      <c r="J63" s="293"/>
      <c r="K63" s="293"/>
      <c r="L63" s="293"/>
      <c r="M63" s="293"/>
    </row>
    <row r="64" spans="1:13" ht="15.75" thickBot="1">
      <c r="A64" s="293" t="s">
        <v>591</v>
      </c>
      <c r="B64" s="293"/>
      <c r="C64" s="293"/>
      <c r="D64" s="293"/>
      <c r="E64" s="1061">
        <f>+'P&amp;L'!Y19</f>
        <v>50</v>
      </c>
      <c r="F64" s="293"/>
      <c r="G64" s="946"/>
      <c r="H64" s="293"/>
      <c r="I64" s="293"/>
      <c r="J64" s="293"/>
      <c r="K64" s="293"/>
      <c r="L64" s="293"/>
      <c r="M64" s="293"/>
    </row>
    <row r="65" spans="1:13" ht="15.75" thickTop="1">
      <c r="A65" s="293"/>
      <c r="B65" s="293"/>
      <c r="C65" s="293"/>
      <c r="D65" s="293"/>
      <c r="E65" s="293"/>
      <c r="F65" s="293"/>
      <c r="G65" s="946"/>
      <c r="H65" s="293"/>
      <c r="I65" s="293"/>
      <c r="J65" s="293"/>
      <c r="K65" s="293"/>
      <c r="L65" s="293"/>
      <c r="M65" s="293"/>
    </row>
    <row r="66" spans="1:13" ht="15">
      <c r="A66" s="293"/>
      <c r="B66" s="293"/>
      <c r="C66" s="293"/>
      <c r="D66" s="293"/>
      <c r="E66" s="833">
        <f>+E62-E64</f>
        <v>911.373</v>
      </c>
      <c r="F66" s="293"/>
      <c r="G66" s="946"/>
      <c r="H66" s="293"/>
      <c r="I66" s="293"/>
      <c r="J66" s="293"/>
      <c r="K66" s="293"/>
      <c r="L66" s="293"/>
      <c r="M66" s="293"/>
    </row>
    <row r="67" spans="1:13" ht="15">
      <c r="A67" s="293"/>
      <c r="B67" s="293"/>
      <c r="C67" s="293"/>
      <c r="D67" s="293"/>
      <c r="E67" s="293"/>
      <c r="F67" s="293"/>
      <c r="G67" s="946"/>
      <c r="H67" s="293"/>
      <c r="I67" s="293"/>
      <c r="J67" s="293"/>
      <c r="K67" s="293"/>
      <c r="L67" s="293"/>
      <c r="M67" s="293"/>
    </row>
    <row r="68" spans="1:13" ht="15">
      <c r="A68" s="829" t="s">
        <v>1423</v>
      </c>
      <c r="B68" s="293"/>
      <c r="C68" s="293"/>
      <c r="D68" s="293"/>
      <c r="E68" s="1056"/>
      <c r="F68" s="293"/>
      <c r="G68" s="946"/>
      <c r="H68" s="293"/>
      <c r="I68" s="293"/>
      <c r="J68" s="293"/>
      <c r="K68" s="293"/>
      <c r="L68" s="293"/>
      <c r="M68" s="293"/>
    </row>
    <row r="69" spans="1:13" ht="15">
      <c r="A69" s="293" t="s">
        <v>1529</v>
      </c>
      <c r="B69" s="293"/>
      <c r="C69" s="293"/>
      <c r="D69" s="293"/>
      <c r="E69" s="832">
        <f>200*0.6</f>
        <v>120</v>
      </c>
      <c r="F69" s="293"/>
      <c r="G69" s="946"/>
      <c r="H69" s="293"/>
      <c r="I69" s="293"/>
      <c r="J69" s="293"/>
      <c r="K69" s="293"/>
      <c r="L69" s="293"/>
      <c r="M69" s="293"/>
    </row>
    <row r="70" spans="1:13" ht="15">
      <c r="A70" s="293" t="s">
        <v>1530</v>
      </c>
      <c r="B70" s="293"/>
      <c r="C70" s="293"/>
      <c r="D70" s="293"/>
      <c r="E70" s="832">
        <f>200*0.4</f>
        <v>80</v>
      </c>
      <c r="F70" s="293"/>
      <c r="G70" s="946"/>
      <c r="H70" s="293"/>
      <c r="I70" s="293"/>
      <c r="J70" s="293"/>
      <c r="K70" s="293"/>
      <c r="L70" s="293"/>
      <c r="M70" s="293"/>
    </row>
    <row r="71" spans="1:13" ht="15.75" thickBot="1">
      <c r="A71" s="293" t="s">
        <v>1424</v>
      </c>
      <c r="B71" s="293"/>
      <c r="C71" s="293"/>
      <c r="D71" s="293"/>
      <c r="E71" s="836">
        <f>SUM(E69:E70)</f>
        <v>200</v>
      </c>
      <c r="F71" s="293"/>
      <c r="G71" s="946"/>
      <c r="H71" s="293"/>
      <c r="I71" s="293"/>
      <c r="J71" s="293"/>
      <c r="K71" s="293"/>
      <c r="L71" s="293"/>
      <c r="M71" s="293"/>
    </row>
    <row r="72" spans="1:13" ht="15.75" thickTop="1">
      <c r="A72" s="293"/>
      <c r="B72" s="293"/>
      <c r="C72" s="293"/>
      <c r="D72" s="293"/>
      <c r="E72" s="832"/>
      <c r="F72" s="293"/>
      <c r="G72" s="946"/>
      <c r="H72" s="293"/>
      <c r="I72" s="293"/>
      <c r="J72" s="293"/>
      <c r="K72" s="293"/>
      <c r="L72" s="293"/>
      <c r="M72" s="293"/>
    </row>
    <row r="73" spans="1:13" ht="15">
      <c r="A73" s="1062"/>
      <c r="B73" s="1062"/>
      <c r="C73" s="1062"/>
      <c r="D73" s="1062"/>
      <c r="E73" s="956"/>
      <c r="F73" s="1062"/>
      <c r="G73" s="1062"/>
      <c r="H73" s="1062"/>
      <c r="I73" s="293"/>
      <c r="J73" s="293"/>
      <c r="K73" s="293"/>
      <c r="L73" s="293"/>
      <c r="M73" s="293"/>
    </row>
    <row r="74" spans="1:13" ht="15">
      <c r="A74" s="837" t="s">
        <v>461</v>
      </c>
      <c r="B74" s="293"/>
      <c r="C74" s="293"/>
      <c r="D74" s="293"/>
      <c r="E74" s="293"/>
      <c r="F74" s="293"/>
      <c r="G74" s="293"/>
      <c r="H74" s="293"/>
      <c r="I74" s="293"/>
      <c r="J74" s="293"/>
      <c r="K74" s="293"/>
      <c r="L74" s="293"/>
      <c r="M74" s="293"/>
    </row>
    <row r="75" spans="1:13" ht="15">
      <c r="A75" s="293" t="s">
        <v>462</v>
      </c>
      <c r="B75" s="293"/>
      <c r="C75" s="293"/>
      <c r="D75" s="293"/>
      <c r="E75" s="833">
        <f>+'P&amp;L'!B20</f>
        <v>2015.097</v>
      </c>
      <c r="F75" s="833"/>
      <c r="G75" s="293"/>
      <c r="H75" s="293"/>
      <c r="I75" s="293"/>
      <c r="J75" s="293"/>
      <c r="K75" s="293"/>
      <c r="L75" s="293"/>
      <c r="M75" s="293"/>
    </row>
    <row r="76" spans="1:13" ht="15">
      <c r="A76" s="293" t="s">
        <v>637</v>
      </c>
      <c r="B76" s="293"/>
      <c r="C76" s="293"/>
      <c r="D76" s="947">
        <f>-+'P&amp;L'!K54</f>
        <v>-2000.695</v>
      </c>
      <c r="E76" s="833"/>
      <c r="F76" s="944"/>
      <c r="G76" s="293"/>
      <c r="H76" s="293"/>
      <c r="I76" s="293"/>
      <c r="J76" s="293"/>
      <c r="K76" s="293"/>
      <c r="L76" s="293"/>
      <c r="M76" s="293"/>
    </row>
    <row r="77" spans="1:13" ht="15">
      <c r="A77" s="835" t="s">
        <v>638</v>
      </c>
      <c r="B77" s="293"/>
      <c r="C77" s="293"/>
      <c r="D77" s="947">
        <f>-+'P&amp;L'!R54</f>
        <v>-15.2</v>
      </c>
      <c r="E77" s="833">
        <f>SUM(D76:D77)</f>
        <v>-2015.895</v>
      </c>
      <c r="F77" s="833" t="s">
        <v>616</v>
      </c>
      <c r="G77" s="833"/>
      <c r="H77" s="293"/>
      <c r="I77" s="293"/>
      <c r="J77" s="293"/>
      <c r="K77" s="293"/>
      <c r="L77" s="293"/>
      <c r="M77" s="293"/>
    </row>
    <row r="78" spans="1:13" ht="15.75" thickBot="1">
      <c r="A78" s="293" t="s">
        <v>463</v>
      </c>
      <c r="B78" s="293"/>
      <c r="C78" s="293"/>
      <c r="D78" s="955"/>
      <c r="E78" s="836">
        <f>SUM(E75:E77)</f>
        <v>-0.7980000000000018</v>
      </c>
      <c r="F78" s="832"/>
      <c r="G78" s="293"/>
      <c r="H78" s="293"/>
      <c r="I78" s="293"/>
      <c r="J78" s="293"/>
      <c r="K78" s="293"/>
      <c r="L78" s="293"/>
      <c r="M78" s="293"/>
    </row>
    <row r="79" spans="1:13" ht="15.75" thickTop="1">
      <c r="A79" s="293"/>
      <c r="B79" s="293"/>
      <c r="C79" s="293"/>
      <c r="D79" s="293"/>
      <c r="E79" s="293"/>
      <c r="F79" s="293"/>
      <c r="G79" s="293"/>
      <c r="H79" s="293"/>
      <c r="I79" s="293"/>
      <c r="J79" s="293"/>
      <c r="K79" s="293"/>
      <c r="L79" s="293"/>
      <c r="M79" s="293"/>
    </row>
    <row r="80" spans="1:13" ht="15.75" thickBot="1">
      <c r="A80" s="293" t="s">
        <v>592</v>
      </c>
      <c r="B80" s="293"/>
      <c r="C80" s="293"/>
      <c r="D80" s="293"/>
      <c r="E80" s="1060">
        <f>+'P&amp;L'!Y20</f>
        <v>-0.7980000000000018</v>
      </c>
      <c r="F80" s="293"/>
      <c r="G80" s="293"/>
      <c r="H80" s="293"/>
      <c r="I80" s="293"/>
      <c r="J80" s="293"/>
      <c r="K80" s="293"/>
      <c r="L80" s="293"/>
      <c r="M80" s="293"/>
    </row>
    <row r="81" spans="1:13" ht="15.75" thickTop="1">
      <c r="A81" s="293"/>
      <c r="B81" s="293"/>
      <c r="C81" s="293"/>
      <c r="D81" s="293"/>
      <c r="E81" s="293"/>
      <c r="F81" s="293"/>
      <c r="G81" s="293"/>
      <c r="H81" s="293"/>
      <c r="I81" s="293"/>
      <c r="J81" s="293"/>
      <c r="K81" s="293"/>
      <c r="L81" s="293"/>
      <c r="M81" s="293"/>
    </row>
    <row r="82" spans="1:13" ht="15">
      <c r="A82" s="293"/>
      <c r="B82" s="293"/>
      <c r="C82" s="293"/>
      <c r="D82" s="293"/>
      <c r="E82" s="833">
        <f>+E78-E80</f>
        <v>0</v>
      </c>
      <c r="F82" s="293"/>
      <c r="G82" s="293"/>
      <c r="H82" s="293"/>
      <c r="I82" s="293"/>
      <c r="J82" s="293"/>
      <c r="K82" s="293"/>
      <c r="L82" s="293"/>
      <c r="M82" s="293"/>
    </row>
    <row r="83" spans="1:13" ht="15">
      <c r="A83" s="293"/>
      <c r="B83" s="293"/>
      <c r="C83" s="293"/>
      <c r="D83" s="293"/>
      <c r="E83" s="833"/>
      <c r="F83" s="293"/>
      <c r="G83" s="293"/>
      <c r="H83" s="293"/>
      <c r="I83" s="293"/>
      <c r="J83" s="293"/>
      <c r="K83" s="293"/>
      <c r="L83" s="293"/>
      <c r="M83" s="293"/>
    </row>
    <row r="84" spans="1:13" ht="15">
      <c r="A84" s="1062"/>
      <c r="B84" s="1062"/>
      <c r="C84" s="1062"/>
      <c r="D84" s="1062"/>
      <c r="E84" s="1062"/>
      <c r="F84" s="1062"/>
      <c r="G84" s="1062"/>
      <c r="H84" s="1062"/>
      <c r="I84" s="293"/>
      <c r="J84" s="293"/>
      <c r="K84" s="293"/>
      <c r="L84" s="293"/>
      <c r="M84" s="293"/>
    </row>
    <row r="85" spans="1:13" ht="15">
      <c r="A85" s="837" t="s">
        <v>465</v>
      </c>
      <c r="B85" s="293"/>
      <c r="C85" s="293"/>
      <c r="D85" s="293"/>
      <c r="E85" s="293"/>
      <c r="F85" s="293"/>
      <c r="G85" s="293"/>
      <c r="H85" s="293"/>
      <c r="I85" s="293"/>
      <c r="J85" s="293"/>
      <c r="K85" s="293"/>
      <c r="L85" s="293"/>
      <c r="M85" s="293"/>
    </row>
    <row r="86" spans="1:13" ht="15">
      <c r="A86" s="293" t="s">
        <v>318</v>
      </c>
      <c r="B86" s="293"/>
      <c r="C86" s="293"/>
      <c r="D86" s="293"/>
      <c r="E86" s="833">
        <f>+'P&amp;L'!B22</f>
        <v>300</v>
      </c>
      <c r="F86" s="833"/>
      <c r="G86" s="293"/>
      <c r="H86" s="293"/>
      <c r="I86" s="293"/>
      <c r="J86" s="293"/>
      <c r="K86" s="293"/>
      <c r="L86" s="293"/>
      <c r="M86" s="293"/>
    </row>
    <row r="87" spans="1:13" ht="15">
      <c r="A87" s="293" t="s">
        <v>466</v>
      </c>
      <c r="B87" s="293"/>
      <c r="C87" s="293"/>
      <c r="D87" s="293"/>
      <c r="E87" s="833">
        <f>+'P&amp;L'!C22</f>
        <v>8.4</v>
      </c>
      <c r="F87" s="833"/>
      <c r="G87" s="293"/>
      <c r="H87" s="293"/>
      <c r="I87" s="293"/>
      <c r="J87" s="293"/>
      <c r="K87" s="293"/>
      <c r="L87" s="293"/>
      <c r="M87" s="293"/>
    </row>
    <row r="88" spans="1:13" ht="15">
      <c r="A88" s="293" t="s">
        <v>513</v>
      </c>
      <c r="B88" s="293"/>
      <c r="C88" s="293"/>
      <c r="D88" s="293"/>
      <c r="E88" s="833">
        <f>+'P&amp;L'!D22</f>
        <v>477.053</v>
      </c>
      <c r="F88" s="833"/>
      <c r="G88" s="293"/>
      <c r="H88" s="293"/>
      <c r="I88" s="293"/>
      <c r="J88" s="293"/>
      <c r="K88" s="293"/>
      <c r="L88" s="293"/>
      <c r="M88" s="293"/>
    </row>
    <row r="89" spans="1:13" ht="15">
      <c r="A89" s="293" t="s">
        <v>518</v>
      </c>
      <c r="B89" s="293"/>
      <c r="C89" s="293"/>
      <c r="D89" s="293"/>
      <c r="E89" s="833">
        <f>+'P&amp;L'!K22</f>
        <v>120</v>
      </c>
      <c r="F89" s="833"/>
      <c r="G89" s="293"/>
      <c r="H89" s="293"/>
      <c r="I89" s="293"/>
      <c r="J89" s="293"/>
      <c r="K89" s="293"/>
      <c r="L89" s="293"/>
      <c r="M89" s="293"/>
    </row>
    <row r="90" spans="1:13" ht="15">
      <c r="A90" s="293" t="s">
        <v>519</v>
      </c>
      <c r="B90" s="293"/>
      <c r="C90" s="293"/>
      <c r="D90" s="293"/>
      <c r="E90" s="833">
        <f>+'P&amp;L'!Q22</f>
        <v>9.2</v>
      </c>
      <c r="F90" s="833"/>
      <c r="G90" s="293"/>
      <c r="H90" s="293"/>
      <c r="I90" s="293"/>
      <c r="J90" s="293"/>
      <c r="K90" s="293"/>
      <c r="L90" s="293"/>
      <c r="M90" s="293"/>
    </row>
    <row r="91" spans="1:13" ht="15">
      <c r="A91" s="293"/>
      <c r="B91" s="293"/>
      <c r="C91" s="293"/>
      <c r="D91" s="293"/>
      <c r="E91" s="834">
        <f>SUM(E86:E90)</f>
        <v>914.653</v>
      </c>
      <c r="F91" s="832"/>
      <c r="G91" s="293"/>
      <c r="H91" s="293"/>
      <c r="I91" s="293"/>
      <c r="J91" s="293"/>
      <c r="K91" s="293"/>
      <c r="L91" s="293"/>
      <c r="M91" s="293"/>
    </row>
    <row r="92" spans="1:13" ht="15">
      <c r="A92" s="293" t="s">
        <v>467</v>
      </c>
      <c r="B92" s="293"/>
      <c r="C92" s="293"/>
      <c r="D92" s="293"/>
      <c r="E92" s="833"/>
      <c r="F92" s="833"/>
      <c r="G92" s="293"/>
      <c r="H92" s="293"/>
      <c r="I92" s="293"/>
      <c r="J92" s="293"/>
      <c r="K92" s="293"/>
      <c r="L92" s="293"/>
      <c r="M92" s="293"/>
    </row>
    <row r="93" spans="1:13" ht="15">
      <c r="A93" s="835" t="s">
        <v>468</v>
      </c>
      <c r="B93" s="293"/>
      <c r="C93" s="293"/>
      <c r="D93" s="833">
        <f>-25*12</f>
        <v>-300</v>
      </c>
      <c r="E93" s="833"/>
      <c r="F93" s="944"/>
      <c r="G93" s="293"/>
      <c r="H93" s="293"/>
      <c r="I93" s="293"/>
      <c r="J93" s="293"/>
      <c r="K93" s="293"/>
      <c r="L93" s="293"/>
      <c r="M93" s="293"/>
    </row>
    <row r="94" spans="1:13" ht="15">
      <c r="A94" s="835" t="s">
        <v>470</v>
      </c>
      <c r="B94" s="293"/>
      <c r="C94" s="293"/>
      <c r="D94" s="833">
        <f>-38087.77*12/1000</f>
        <v>-457.05324</v>
      </c>
      <c r="E94" s="833"/>
      <c r="F94" s="944"/>
      <c r="G94" s="293"/>
      <c r="H94" s="293"/>
      <c r="I94" s="293"/>
      <c r="J94" s="293"/>
      <c r="K94" s="293"/>
      <c r="L94" s="293"/>
      <c r="M94" s="293"/>
    </row>
    <row r="95" spans="1:13" ht="15">
      <c r="A95" s="835" t="s">
        <v>471</v>
      </c>
      <c r="B95" s="293"/>
      <c r="C95" s="293"/>
      <c r="D95" s="293"/>
      <c r="E95" s="833"/>
      <c r="F95" s="944"/>
      <c r="G95" s="293"/>
      <c r="H95" s="293"/>
      <c r="I95" s="293"/>
      <c r="J95" s="293"/>
      <c r="K95" s="293"/>
      <c r="L95" s="293"/>
      <c r="M95" s="293"/>
    </row>
    <row r="96" spans="1:13" ht="15">
      <c r="A96" s="835" t="s">
        <v>475</v>
      </c>
      <c r="B96" s="293"/>
      <c r="C96" s="293"/>
      <c r="D96" s="833">
        <f>-2.5*8</f>
        <v>-20</v>
      </c>
      <c r="E96" s="833"/>
      <c r="F96" s="944"/>
      <c r="G96" s="293"/>
      <c r="H96" s="293"/>
      <c r="I96" s="293"/>
      <c r="J96" s="293"/>
      <c r="K96" s="293"/>
      <c r="L96" s="293"/>
      <c r="M96" s="293"/>
    </row>
    <row r="97" spans="1:13" ht="15">
      <c r="A97" s="835" t="s">
        <v>476</v>
      </c>
      <c r="B97" s="293"/>
      <c r="C97" s="293"/>
      <c r="D97" s="833">
        <f>-10*12</f>
        <v>-120</v>
      </c>
      <c r="E97" s="833">
        <f>SUM(D93:D97)</f>
        <v>-897.05324</v>
      </c>
      <c r="F97" s="833" t="s">
        <v>616</v>
      </c>
      <c r="G97" s="833"/>
      <c r="H97" s="293"/>
      <c r="I97" s="293"/>
      <c r="J97" s="293"/>
      <c r="K97" s="293"/>
      <c r="L97" s="293"/>
      <c r="M97" s="293"/>
    </row>
    <row r="98" spans="1:13" ht="15.75" thickBot="1">
      <c r="A98" s="293"/>
      <c r="B98" s="293"/>
      <c r="C98" s="293"/>
      <c r="D98" s="955"/>
      <c r="E98" s="836">
        <f>SUM(E91:E97)</f>
        <v>17.59976000000006</v>
      </c>
      <c r="F98" s="832"/>
      <c r="G98" s="293"/>
      <c r="H98" s="293"/>
      <c r="I98" s="293"/>
      <c r="J98" s="293"/>
      <c r="K98" s="293"/>
      <c r="L98" s="293"/>
      <c r="M98" s="293"/>
    </row>
    <row r="99" spans="1:13" ht="15.75" thickTop="1">
      <c r="A99" s="293"/>
      <c r="B99" s="293"/>
      <c r="C99" s="293"/>
      <c r="D99" s="293"/>
      <c r="E99" s="293"/>
      <c r="F99" s="293"/>
      <c r="G99" s="293"/>
      <c r="H99" s="293"/>
      <c r="I99" s="293"/>
      <c r="J99" s="293"/>
      <c r="K99" s="293"/>
      <c r="L99" s="293"/>
      <c r="M99" s="293"/>
    </row>
    <row r="100" spans="1:13" ht="15.75" thickBot="1">
      <c r="A100" s="293" t="s">
        <v>591</v>
      </c>
      <c r="B100" s="293"/>
      <c r="C100" s="293"/>
      <c r="D100" s="293"/>
      <c r="E100" s="1060">
        <f>+'P&amp;L'!Y22</f>
        <v>17.600000000000023</v>
      </c>
      <c r="F100" s="293"/>
      <c r="G100" s="293"/>
      <c r="H100" s="293"/>
      <c r="I100" s="293"/>
      <c r="J100" s="293"/>
      <c r="K100" s="293"/>
      <c r="L100" s="293"/>
      <c r="M100" s="293"/>
    </row>
    <row r="101" spans="1:13" ht="15.75" thickTop="1">
      <c r="A101" s="293"/>
      <c r="B101" s="293"/>
      <c r="C101" s="293"/>
      <c r="D101" s="293"/>
      <c r="E101" s="293"/>
      <c r="F101" s="293"/>
      <c r="G101" s="293"/>
      <c r="H101" s="293"/>
      <c r="I101" s="293"/>
      <c r="J101" s="293"/>
      <c r="K101" s="293"/>
      <c r="L101" s="293"/>
      <c r="M101" s="293"/>
    </row>
    <row r="102" spans="1:13" ht="15">
      <c r="A102" s="293"/>
      <c r="B102" s="293"/>
      <c r="C102" s="293"/>
      <c r="D102" s="293"/>
      <c r="E102" s="833">
        <f>+E98-E100</f>
        <v>-0.00023999999996249244</v>
      </c>
      <c r="F102" s="293"/>
      <c r="G102" s="293"/>
      <c r="H102" s="293"/>
      <c r="I102" s="293"/>
      <c r="J102" s="293"/>
      <c r="K102" s="293"/>
      <c r="L102" s="293"/>
      <c r="M102" s="293"/>
    </row>
    <row r="103" spans="1:13" ht="15">
      <c r="A103" s="293"/>
      <c r="B103" s="293"/>
      <c r="C103" s="293"/>
      <c r="D103" s="293"/>
      <c r="E103" s="833"/>
      <c r="F103" s="293"/>
      <c r="G103" s="293"/>
      <c r="H103" s="293"/>
      <c r="I103" s="293"/>
      <c r="J103" s="293"/>
      <c r="K103" s="293"/>
      <c r="L103" s="293"/>
      <c r="M103" s="293"/>
    </row>
    <row r="104" spans="1:13" ht="15">
      <c r="A104" s="1062"/>
      <c r="B104" s="1062"/>
      <c r="C104" s="1062"/>
      <c r="D104" s="1062"/>
      <c r="E104" s="956"/>
      <c r="F104" s="1062"/>
      <c r="G104" s="1062"/>
      <c r="H104" s="1062"/>
      <c r="I104" s="293"/>
      <c r="J104" s="293"/>
      <c r="K104" s="293"/>
      <c r="L104" s="293"/>
      <c r="M104" s="293"/>
    </row>
    <row r="105" spans="1:13" ht="15">
      <c r="A105" s="837" t="s">
        <v>477</v>
      </c>
      <c r="B105" s="293"/>
      <c r="C105" s="293"/>
      <c r="D105" s="293"/>
      <c r="E105" s="293"/>
      <c r="F105" s="293"/>
      <c r="G105" s="293"/>
      <c r="H105" s="293"/>
      <c r="I105" s="293"/>
      <c r="J105" s="293"/>
      <c r="K105" s="293"/>
      <c r="L105" s="293"/>
      <c r="M105" s="293"/>
    </row>
    <row r="106" spans="1:13" ht="15">
      <c r="A106" s="293" t="s">
        <v>318</v>
      </c>
      <c r="B106" s="293"/>
      <c r="C106" s="293"/>
      <c r="D106" s="293"/>
      <c r="E106" s="293">
        <f>+'P&amp;L'!B31</f>
        <v>33.985</v>
      </c>
      <c r="F106" s="293"/>
      <c r="G106" s="293"/>
      <c r="H106" s="293"/>
      <c r="I106" s="293"/>
      <c r="J106" s="293"/>
      <c r="K106" s="293"/>
      <c r="L106" s="293"/>
      <c r="M106" s="293"/>
    </row>
    <row r="107" spans="1:13" ht="15">
      <c r="A107" s="293" t="s">
        <v>513</v>
      </c>
      <c r="B107" s="293"/>
      <c r="C107" s="293"/>
      <c r="D107" s="293"/>
      <c r="E107" s="293">
        <f>+'P&amp;L'!D31</f>
        <v>3.026</v>
      </c>
      <c r="F107" s="293"/>
      <c r="G107" s="293"/>
      <c r="H107" s="293"/>
      <c r="I107" s="293"/>
      <c r="J107" s="293"/>
      <c r="K107" s="293"/>
      <c r="L107" s="293"/>
      <c r="M107" s="293"/>
    </row>
    <row r="108" spans="1:13" ht="15">
      <c r="A108" s="293" t="s">
        <v>332</v>
      </c>
      <c r="B108" s="293"/>
      <c r="C108" s="293"/>
      <c r="D108" s="293"/>
      <c r="E108" s="293">
        <f>+'P&amp;L'!H31</f>
        <v>4.525</v>
      </c>
      <c r="F108" s="293"/>
      <c r="G108" s="293"/>
      <c r="H108" s="293"/>
      <c r="I108" s="293"/>
      <c r="J108" s="293"/>
      <c r="K108" s="293"/>
      <c r="L108" s="293"/>
      <c r="M108" s="293"/>
    </row>
    <row r="109" spans="1:13" ht="15">
      <c r="A109" s="293" t="s">
        <v>518</v>
      </c>
      <c r="B109" s="293"/>
      <c r="C109" s="293"/>
      <c r="D109" s="293"/>
      <c r="E109" s="293">
        <f>+'P&amp;L'!K31</f>
        <v>1069.916</v>
      </c>
      <c r="F109" s="293"/>
      <c r="G109" s="293"/>
      <c r="H109" s="293"/>
      <c r="I109" s="293"/>
      <c r="J109" s="293"/>
      <c r="K109" s="293"/>
      <c r="L109" s="293"/>
      <c r="M109" s="293"/>
    </row>
    <row r="110" spans="1:13" ht="15">
      <c r="A110" s="293" t="s">
        <v>292</v>
      </c>
      <c r="B110" s="293"/>
      <c r="C110" s="293"/>
      <c r="D110" s="293"/>
      <c r="E110" s="293">
        <f>+'P&amp;L'!L31</f>
        <v>55.249</v>
      </c>
      <c r="F110" s="293"/>
      <c r="G110" s="293"/>
      <c r="H110" s="293"/>
      <c r="I110" s="293"/>
      <c r="J110" s="293"/>
      <c r="K110" s="293"/>
      <c r="L110" s="293"/>
      <c r="M110" s="293"/>
    </row>
    <row r="111" spans="1:13" ht="15">
      <c r="A111" s="293" t="s">
        <v>336</v>
      </c>
      <c r="B111" s="293"/>
      <c r="C111" s="293"/>
      <c r="D111" s="293"/>
      <c r="E111" s="293">
        <f>+'P&amp;L'!N31</f>
        <v>1.297</v>
      </c>
      <c r="F111" s="293"/>
      <c r="G111" s="293"/>
      <c r="H111" s="293"/>
      <c r="I111" s="293"/>
      <c r="J111" s="293"/>
      <c r="K111" s="293"/>
      <c r="L111" s="293"/>
      <c r="M111" s="293"/>
    </row>
    <row r="112" spans="1:13" ht="15">
      <c r="A112" s="293"/>
      <c r="B112" s="293"/>
      <c r="C112" s="293"/>
      <c r="D112" s="293"/>
      <c r="E112" s="834">
        <f>SUM(E106:E111)</f>
        <v>1167.998</v>
      </c>
      <c r="F112" s="832"/>
      <c r="G112" s="293"/>
      <c r="H112" s="293"/>
      <c r="I112" s="293"/>
      <c r="J112" s="293"/>
      <c r="K112" s="293"/>
      <c r="L112" s="293"/>
      <c r="M112" s="293"/>
    </row>
    <row r="113" spans="1:13" ht="15">
      <c r="A113" s="293" t="s">
        <v>478</v>
      </c>
      <c r="B113" s="293"/>
      <c r="C113" s="293"/>
      <c r="D113" s="956">
        <v>-416</v>
      </c>
      <c r="E113" s="833">
        <f>SUM(D113)</f>
        <v>-416</v>
      </c>
      <c r="F113" s="833" t="s">
        <v>616</v>
      </c>
      <c r="G113" s="293"/>
      <c r="H113" s="293"/>
      <c r="I113" s="293"/>
      <c r="J113" s="293"/>
      <c r="K113" s="293"/>
      <c r="L113" s="293"/>
      <c r="M113" s="293"/>
    </row>
    <row r="114" spans="1:13" ht="15.75" thickBot="1">
      <c r="A114" s="293"/>
      <c r="B114" s="293"/>
      <c r="C114" s="293"/>
      <c r="D114" s="293"/>
      <c r="E114" s="836">
        <f>SUM(E112:E113)</f>
        <v>751.998</v>
      </c>
      <c r="F114" s="832"/>
      <c r="G114" s="293"/>
      <c r="H114" s="293"/>
      <c r="I114" s="293"/>
      <c r="J114" s="293"/>
      <c r="K114" s="293"/>
      <c r="L114" s="293"/>
      <c r="M114" s="293"/>
    </row>
    <row r="115" spans="1:13" ht="15.75" thickTop="1">
      <c r="A115" s="293"/>
      <c r="B115" s="293"/>
      <c r="C115" s="293"/>
      <c r="D115" s="293"/>
      <c r="E115" s="832"/>
      <c r="F115" s="832"/>
      <c r="G115" s="293"/>
      <c r="H115" s="293"/>
      <c r="I115" s="293"/>
      <c r="J115" s="293"/>
      <c r="K115" s="293"/>
      <c r="L115" s="293"/>
      <c r="M115" s="293"/>
    </row>
    <row r="116" spans="1:13" ht="15.75" thickBot="1">
      <c r="A116" s="293" t="s">
        <v>591</v>
      </c>
      <c r="B116" s="293"/>
      <c r="C116" s="293"/>
      <c r="D116" s="293"/>
      <c r="E116" s="1060">
        <f>+'P&amp;L'!Y31</f>
        <v>751.998</v>
      </c>
      <c r="F116" s="832"/>
      <c r="G116" s="293"/>
      <c r="H116" s="293"/>
      <c r="I116" s="293"/>
      <c r="J116" s="293"/>
      <c r="K116" s="293"/>
      <c r="L116" s="293"/>
      <c r="M116" s="293"/>
    </row>
    <row r="117" spans="1:13" ht="15.75" thickTop="1">
      <c r="A117" s="293"/>
      <c r="B117" s="293"/>
      <c r="C117" s="293"/>
      <c r="D117" s="293"/>
      <c r="E117" s="832"/>
      <c r="F117" s="832"/>
      <c r="G117" s="293"/>
      <c r="H117" s="293"/>
      <c r="I117" s="293"/>
      <c r="J117" s="293"/>
      <c r="K117" s="293"/>
      <c r="L117" s="293"/>
      <c r="M117" s="293"/>
    </row>
    <row r="118" spans="1:13" ht="15">
      <c r="A118" s="293"/>
      <c r="B118" s="293"/>
      <c r="C118" s="293"/>
      <c r="D118" s="293"/>
      <c r="E118" s="832">
        <f>+E114-E116</f>
        <v>0</v>
      </c>
      <c r="F118" s="832"/>
      <c r="G118" s="293"/>
      <c r="H118" s="293"/>
      <c r="I118" s="293"/>
      <c r="J118" s="293"/>
      <c r="K118" s="293"/>
      <c r="L118" s="293"/>
      <c r="M118" s="293"/>
    </row>
    <row r="119" spans="1:13" ht="15">
      <c r="A119" s="293"/>
      <c r="B119" s="293"/>
      <c r="C119" s="293"/>
      <c r="D119" s="293"/>
      <c r="E119" s="832"/>
      <c r="F119" s="832"/>
      <c r="G119" s="293"/>
      <c r="H119" s="293"/>
      <c r="I119" s="293"/>
      <c r="J119" s="293"/>
      <c r="K119" s="293"/>
      <c r="L119" s="293"/>
      <c r="M119" s="293"/>
    </row>
    <row r="120" spans="1:13" ht="15">
      <c r="A120" s="1062"/>
      <c r="B120" s="1062"/>
      <c r="C120" s="1062"/>
      <c r="D120" s="1062"/>
      <c r="E120" s="956"/>
      <c r="F120" s="956"/>
      <c r="G120" s="1062"/>
      <c r="H120" s="1062"/>
      <c r="I120" s="293"/>
      <c r="J120" s="293"/>
      <c r="K120" s="293"/>
      <c r="L120" s="293"/>
      <c r="M120" s="293"/>
    </row>
    <row r="121" spans="1:13" ht="15">
      <c r="A121" s="837" t="s">
        <v>479</v>
      </c>
      <c r="B121" s="293"/>
      <c r="C121" s="293"/>
      <c r="D121" s="293"/>
      <c r="E121" s="833"/>
      <c r="F121" s="833"/>
      <c r="G121" s="293"/>
      <c r="H121" s="293"/>
      <c r="I121" s="293"/>
      <c r="J121" s="293"/>
      <c r="K121" s="293"/>
      <c r="L121" s="293"/>
      <c r="M121" s="293"/>
    </row>
    <row r="122" spans="1:13" ht="15">
      <c r="A122" s="293" t="s">
        <v>480</v>
      </c>
      <c r="B122" s="293"/>
      <c r="C122" s="293"/>
      <c r="D122" s="293"/>
      <c r="E122" s="833">
        <f>+'P&amp;L'!U35</f>
        <v>4604.614000000002</v>
      </c>
      <c r="F122" s="833"/>
      <c r="G122" s="293"/>
      <c r="H122" s="293"/>
      <c r="I122" s="293"/>
      <c r="J122" s="293"/>
      <c r="K122" s="293"/>
      <c r="L122" s="293"/>
      <c r="M122" s="293"/>
    </row>
    <row r="123" spans="1:13" ht="15">
      <c r="A123" s="293" t="s">
        <v>481</v>
      </c>
      <c r="B123" s="293"/>
      <c r="C123" s="293"/>
      <c r="D123" s="293"/>
      <c r="E123" s="833"/>
      <c r="F123" s="833"/>
      <c r="G123" s="293"/>
      <c r="H123" s="293"/>
      <c r="I123" s="293"/>
      <c r="J123" s="293"/>
      <c r="K123" s="293"/>
      <c r="L123" s="293"/>
      <c r="M123" s="293"/>
    </row>
    <row r="124" spans="1:13" ht="15">
      <c r="A124" s="835" t="s">
        <v>482</v>
      </c>
      <c r="B124" s="293"/>
      <c r="C124" s="293"/>
      <c r="D124" s="833">
        <f>+E97</f>
        <v>-897.05324</v>
      </c>
      <c r="E124" s="833"/>
      <c r="F124" s="833"/>
      <c r="G124" s="293"/>
      <c r="H124" s="293"/>
      <c r="I124" s="293"/>
      <c r="J124" s="293"/>
      <c r="K124" s="293"/>
      <c r="L124" s="293"/>
      <c r="M124" s="293"/>
    </row>
    <row r="125" spans="1:6" ht="12.75">
      <c r="A125" s="12" t="s">
        <v>483</v>
      </c>
      <c r="C125" s="69" t="s">
        <v>616</v>
      </c>
      <c r="D125" s="826">
        <v>-468</v>
      </c>
      <c r="E125" s="826">
        <f>SUM(D124:D125)</f>
        <v>-1365.05324</v>
      </c>
      <c r="F125" s="826"/>
    </row>
    <row r="126" spans="4:6" ht="13.5" thickBot="1">
      <c r="D126" s="24"/>
      <c r="E126" s="827">
        <f>SUM(E122:E125)</f>
        <v>3239.560760000002</v>
      </c>
      <c r="F126" s="943"/>
    </row>
    <row r="127" spans="4:6" ht="13.5" thickTop="1">
      <c r="D127" s="61"/>
      <c r="E127" s="943"/>
      <c r="F127" s="943"/>
    </row>
    <row r="128" spans="1:6" ht="13.5" thickBot="1">
      <c r="A128" s="2" t="s">
        <v>591</v>
      </c>
      <c r="D128" s="61"/>
      <c r="E128" s="1059">
        <f>+'P&amp;L'!Y35</f>
        <v>3707.5610000000024</v>
      </c>
      <c r="F128" s="943"/>
    </row>
    <row r="129" spans="4:6" ht="13.5" thickTop="1">
      <c r="D129" s="61"/>
      <c r="E129" s="943"/>
      <c r="F129" s="943"/>
    </row>
    <row r="130" spans="4:6" ht="12.75">
      <c r="D130" s="61"/>
      <c r="E130" s="943">
        <f>+E126-E128</f>
        <v>-468.0002400000003</v>
      </c>
      <c r="F130" s="943"/>
    </row>
    <row r="131" spans="4:6" ht="12.75">
      <c r="D131" s="61"/>
      <c r="E131" s="943"/>
      <c r="F131" s="943"/>
    </row>
    <row r="132" spans="1:8" ht="12.75">
      <c r="A132" s="26"/>
      <c r="B132" s="26"/>
      <c r="C132" s="26"/>
      <c r="D132" s="26"/>
      <c r="E132" s="1063"/>
      <c r="F132" s="1063"/>
      <c r="G132" s="26"/>
      <c r="H132" s="26"/>
    </row>
    <row r="133" spans="4:6" ht="12.75">
      <c r="D133" s="61"/>
      <c r="E133" s="943"/>
      <c r="F133" s="943"/>
    </row>
    <row r="134" spans="4:6" ht="12.75">
      <c r="D134" s="61"/>
      <c r="E134" s="943"/>
      <c r="F134" s="943"/>
    </row>
    <row r="136" spans="1:8" ht="15.75">
      <c r="A136" s="964" t="s">
        <v>617</v>
      </c>
      <c r="B136" s="965"/>
      <c r="C136" s="965"/>
      <c r="D136" s="965"/>
      <c r="E136" s="965"/>
      <c r="F136" s="971"/>
      <c r="G136" s="958"/>
      <c r="H136" s="61"/>
    </row>
    <row r="137" spans="1:8" ht="15.75">
      <c r="A137" s="966"/>
      <c r="B137" s="958"/>
      <c r="C137" s="958"/>
      <c r="D137" s="967" t="s">
        <v>365</v>
      </c>
      <c r="E137" s="967" t="s">
        <v>366</v>
      </c>
      <c r="F137" s="972"/>
      <c r="G137" s="958"/>
      <c r="H137" s="61"/>
    </row>
    <row r="138" spans="1:8" ht="15.75">
      <c r="A138" s="966"/>
      <c r="B138" s="958"/>
      <c r="C138" s="958"/>
      <c r="D138" s="967" t="s">
        <v>317</v>
      </c>
      <c r="E138" s="967" t="s">
        <v>317</v>
      </c>
      <c r="F138" s="972"/>
      <c r="G138" s="958"/>
      <c r="H138" s="61"/>
    </row>
    <row r="139" spans="1:8" ht="15.75">
      <c r="A139" s="966" t="s">
        <v>407</v>
      </c>
      <c r="B139" s="957"/>
      <c r="C139" s="957"/>
      <c r="D139" s="957"/>
      <c r="E139" s="957"/>
      <c r="F139" s="972"/>
      <c r="G139" s="958"/>
      <c r="H139" s="61"/>
    </row>
    <row r="140" spans="1:8" ht="15.75">
      <c r="A140" s="968" t="s">
        <v>522</v>
      </c>
      <c r="B140" s="957"/>
      <c r="C140" s="957"/>
      <c r="D140" s="959">
        <f>-+D46*1000</f>
        <v>31265162.3</v>
      </c>
      <c r="E140" s="959"/>
      <c r="F140" s="972"/>
      <c r="G140" s="958"/>
      <c r="H140" s="61"/>
    </row>
    <row r="141" spans="1:8" ht="15.75">
      <c r="A141" s="968" t="s">
        <v>410</v>
      </c>
      <c r="B141" s="957"/>
      <c r="C141" s="957"/>
      <c r="D141" s="959"/>
      <c r="E141" s="959">
        <f>+D140</f>
        <v>31265162.3</v>
      </c>
      <c r="F141" s="972"/>
      <c r="G141" s="958"/>
      <c r="H141" s="61"/>
    </row>
    <row r="142" spans="1:8" ht="16.5" thickBot="1">
      <c r="A142" s="966"/>
      <c r="B142" s="957"/>
      <c r="C142" s="957"/>
      <c r="D142" s="960">
        <f>SUM(D140:D141)</f>
        <v>31265162.3</v>
      </c>
      <c r="E142" s="960">
        <f>SUM(E141)</f>
        <v>31265162.3</v>
      </c>
      <c r="F142" s="972"/>
      <c r="G142" s="958"/>
      <c r="H142" s="61"/>
    </row>
    <row r="143" spans="1:8" ht="16.5" thickTop="1">
      <c r="A143" s="968" t="s">
        <v>639</v>
      </c>
      <c r="B143" s="957"/>
      <c r="C143" s="957"/>
      <c r="D143" s="961"/>
      <c r="E143" s="961"/>
      <c r="F143" s="972"/>
      <c r="G143" s="958"/>
      <c r="H143" s="61"/>
    </row>
    <row r="144" spans="1:8" ht="15.75">
      <c r="A144" s="966"/>
      <c r="B144" s="957"/>
      <c r="C144" s="957"/>
      <c r="D144" s="961"/>
      <c r="E144" s="961"/>
      <c r="F144" s="972"/>
      <c r="G144" s="958"/>
      <c r="H144" s="61"/>
    </row>
    <row r="145" spans="1:8" ht="15.75">
      <c r="A145" s="966"/>
      <c r="B145" s="957"/>
      <c r="C145" s="957"/>
      <c r="D145" s="961"/>
      <c r="E145" s="961"/>
      <c r="F145" s="972"/>
      <c r="G145" s="958"/>
      <c r="H145" s="61"/>
    </row>
    <row r="146" spans="1:8" ht="15.75">
      <c r="A146" s="966" t="s">
        <v>408</v>
      </c>
      <c r="B146" s="957"/>
      <c r="C146" s="957"/>
      <c r="D146" s="961"/>
      <c r="E146" s="961"/>
      <c r="F146" s="972"/>
      <c r="G146" s="958"/>
      <c r="H146" s="61"/>
    </row>
    <row r="147" spans="1:8" ht="15.75">
      <c r="A147" s="968" t="s">
        <v>640</v>
      </c>
      <c r="B147" s="957"/>
      <c r="C147" s="957"/>
      <c r="D147" s="961"/>
      <c r="E147" s="961"/>
      <c r="F147" s="972"/>
      <c r="G147" s="958"/>
      <c r="H147" s="61"/>
    </row>
    <row r="148" spans="1:8" ht="15.75">
      <c r="A148" s="969" t="s">
        <v>641</v>
      </c>
      <c r="B148" s="957"/>
      <c r="C148" s="957"/>
      <c r="D148" s="959">
        <f>-+E97*1000</f>
        <v>897053.24</v>
      </c>
      <c r="E148" s="961"/>
      <c r="F148" s="972"/>
      <c r="G148" s="958"/>
      <c r="H148" s="61"/>
    </row>
    <row r="149" spans="1:8" ht="15.75">
      <c r="A149" s="969" t="s">
        <v>645</v>
      </c>
      <c r="B149" s="957"/>
      <c r="C149" s="957"/>
      <c r="D149" s="959">
        <f>-+D113*1000</f>
        <v>416000</v>
      </c>
      <c r="E149" s="961"/>
      <c r="F149" s="972"/>
      <c r="G149" s="958"/>
      <c r="H149" s="61"/>
    </row>
    <row r="150" spans="1:8" ht="15.75">
      <c r="A150" s="969" t="s">
        <v>642</v>
      </c>
      <c r="B150" s="958"/>
      <c r="C150" s="958"/>
      <c r="D150" s="959">
        <f>-+E77*1000</f>
        <v>2015895</v>
      </c>
      <c r="E150" s="959"/>
      <c r="F150" s="972"/>
      <c r="G150" s="958"/>
      <c r="H150" s="61"/>
    </row>
    <row r="151" spans="1:8" ht="15.75">
      <c r="A151" s="969" t="s">
        <v>643</v>
      </c>
      <c r="B151" s="958"/>
      <c r="C151" s="958"/>
      <c r="D151" s="959">
        <f>-+D125*1000</f>
        <v>468000</v>
      </c>
      <c r="E151" s="959"/>
      <c r="F151" s="972"/>
      <c r="G151" s="958"/>
      <c r="H151" s="61"/>
    </row>
    <row r="152" spans="1:8" ht="15.75">
      <c r="A152" s="968"/>
      <c r="B152" s="958"/>
      <c r="C152" s="958"/>
      <c r="D152" s="959"/>
      <c r="E152" s="959"/>
      <c r="F152" s="972"/>
      <c r="G152" s="958"/>
      <c r="H152" s="61"/>
    </row>
    <row r="153" spans="1:8" ht="15.75">
      <c r="A153" s="968" t="s">
        <v>415</v>
      </c>
      <c r="B153" s="958"/>
      <c r="C153" s="958"/>
      <c r="D153" s="959"/>
      <c r="E153" s="959"/>
      <c r="F153" s="972"/>
      <c r="G153" s="958"/>
      <c r="H153" s="61"/>
    </row>
    <row r="154" spans="1:8" ht="15.75">
      <c r="A154" s="969" t="s">
        <v>641</v>
      </c>
      <c r="B154" s="958"/>
      <c r="C154" s="958"/>
      <c r="D154" s="959"/>
      <c r="E154" s="959">
        <f>+D148</f>
        <v>897053.24</v>
      </c>
      <c r="F154" s="972"/>
      <c r="G154" s="958"/>
      <c r="H154" s="61"/>
    </row>
    <row r="155" spans="1:8" ht="15.75">
      <c r="A155" s="969" t="s">
        <v>644</v>
      </c>
      <c r="B155" s="958"/>
      <c r="C155" s="958"/>
      <c r="D155" s="959"/>
      <c r="E155" s="959">
        <f>+D149</f>
        <v>416000</v>
      </c>
      <c r="F155" s="972"/>
      <c r="G155" s="958"/>
      <c r="H155" s="61"/>
    </row>
    <row r="156" spans="1:8" ht="15.75">
      <c r="A156" s="969" t="s">
        <v>646</v>
      </c>
      <c r="B156" s="958"/>
      <c r="C156" s="958"/>
      <c r="D156" s="959"/>
      <c r="E156" s="959">
        <f>+D150</f>
        <v>2015895</v>
      </c>
      <c r="F156" s="972"/>
      <c r="G156" s="958"/>
      <c r="H156" s="61"/>
    </row>
    <row r="157" spans="1:8" ht="15.75">
      <c r="A157" s="969" t="s">
        <v>647</v>
      </c>
      <c r="B157" s="958"/>
      <c r="C157" s="958"/>
      <c r="D157" s="959"/>
      <c r="E157" s="959">
        <f>+D151</f>
        <v>468000</v>
      </c>
      <c r="F157" s="972"/>
      <c r="G157" s="958"/>
      <c r="H157" s="61"/>
    </row>
    <row r="158" spans="1:8" ht="16.5" thickBot="1">
      <c r="A158" s="968"/>
      <c r="B158" s="958"/>
      <c r="C158" s="958"/>
      <c r="D158" s="960">
        <f>SUM(D148:D157)</f>
        <v>3796948.24</v>
      </c>
      <c r="E158" s="960">
        <f>SUM(E154:E157)</f>
        <v>3796948.24</v>
      </c>
      <c r="F158" s="972"/>
      <c r="G158" s="958"/>
      <c r="H158" s="61"/>
    </row>
    <row r="159" spans="1:8" ht="16.5" thickTop="1">
      <c r="A159" s="968" t="s">
        <v>648</v>
      </c>
      <c r="B159" s="958"/>
      <c r="C159" s="958"/>
      <c r="D159" s="959"/>
      <c r="E159" s="959"/>
      <c r="F159" s="972"/>
      <c r="G159" s="958"/>
      <c r="H159" s="61"/>
    </row>
    <row r="160" spans="1:8" ht="15.75">
      <c r="A160" s="968"/>
      <c r="B160" s="958"/>
      <c r="C160" s="958"/>
      <c r="D160" s="959"/>
      <c r="E160" s="959"/>
      <c r="F160" s="972"/>
      <c r="G160" s="958"/>
      <c r="H160" s="61"/>
    </row>
    <row r="161" spans="1:8" ht="15.75">
      <c r="A161" s="968"/>
      <c r="B161" s="958"/>
      <c r="C161" s="958"/>
      <c r="D161" s="959"/>
      <c r="E161" s="959"/>
      <c r="F161" s="972"/>
      <c r="G161" s="958"/>
      <c r="H161" s="61"/>
    </row>
    <row r="162" spans="1:8" ht="15.75">
      <c r="A162" s="966" t="s">
        <v>1120</v>
      </c>
      <c r="B162" s="958"/>
      <c r="C162" s="958"/>
      <c r="D162" s="959"/>
      <c r="E162" s="959"/>
      <c r="F162" s="972"/>
      <c r="G162" s="958"/>
      <c r="H162" s="61"/>
    </row>
    <row r="163" spans="1:8" ht="15.75">
      <c r="A163" s="968" t="s">
        <v>649</v>
      </c>
      <c r="B163" s="958"/>
      <c r="C163" s="958"/>
      <c r="D163" s="959">
        <f>+je!C134</f>
        <v>120000</v>
      </c>
      <c r="E163" s="959"/>
      <c r="F163" s="972"/>
      <c r="G163" s="958"/>
      <c r="H163" s="61"/>
    </row>
    <row r="164" spans="1:8" ht="15.75">
      <c r="A164" s="968" t="s">
        <v>650</v>
      </c>
      <c r="B164" s="958"/>
      <c r="C164" s="958"/>
      <c r="D164" s="959"/>
      <c r="E164" s="959">
        <f>+D163</f>
        <v>120000</v>
      </c>
      <c r="F164" s="972"/>
      <c r="G164" s="958"/>
      <c r="H164" s="61"/>
    </row>
    <row r="165" spans="1:8" ht="16.5" thickBot="1">
      <c r="A165" s="968"/>
      <c r="B165" s="958"/>
      <c r="C165" s="958"/>
      <c r="D165" s="960">
        <f>SUM(D163:D164)</f>
        <v>120000</v>
      </c>
      <c r="E165" s="960">
        <f>SUM(E163:E164)</f>
        <v>120000</v>
      </c>
      <c r="F165" s="972"/>
      <c r="G165" s="958"/>
      <c r="H165" s="61"/>
    </row>
    <row r="166" spans="1:8" ht="16.5" thickTop="1">
      <c r="A166" s="968"/>
      <c r="B166" s="958"/>
      <c r="C166" s="958"/>
      <c r="D166" s="959"/>
      <c r="E166" s="959"/>
      <c r="F166" s="972"/>
      <c r="G166" s="958"/>
      <c r="H166" s="61"/>
    </row>
    <row r="167" spans="1:8" ht="15.75">
      <c r="A167" s="968"/>
      <c r="B167" s="958"/>
      <c r="C167" s="958"/>
      <c r="D167" s="958"/>
      <c r="E167" s="958"/>
      <c r="F167" s="972"/>
      <c r="G167" s="958"/>
      <c r="H167" s="61"/>
    </row>
    <row r="168" spans="1:8" ht="15.75">
      <c r="A168" s="966" t="s">
        <v>1121</v>
      </c>
      <c r="B168" s="958"/>
      <c r="C168" s="958"/>
      <c r="D168" s="958"/>
      <c r="E168" s="958"/>
      <c r="F168" s="972"/>
      <c r="G168" s="958"/>
      <c r="H168" s="61"/>
    </row>
    <row r="169" spans="1:8" ht="15.75">
      <c r="A169" s="968" t="s">
        <v>626</v>
      </c>
      <c r="B169" s="958"/>
      <c r="C169" s="958"/>
      <c r="D169" s="950">
        <f>+je!C139</f>
        <v>57600</v>
      </c>
      <c r="E169" s="958"/>
      <c r="F169" s="972"/>
      <c r="G169" s="958"/>
      <c r="H169" s="61"/>
    </row>
    <row r="170" spans="1:8" ht="15.75">
      <c r="A170" s="968" t="s">
        <v>650</v>
      </c>
      <c r="B170" s="958"/>
      <c r="C170" s="958"/>
      <c r="D170" s="958"/>
      <c r="E170" s="950">
        <f>+D169</f>
        <v>57600</v>
      </c>
      <c r="F170" s="972"/>
      <c r="G170" s="958"/>
      <c r="H170" s="61"/>
    </row>
    <row r="171" spans="1:8" ht="15.75">
      <c r="A171" s="75"/>
      <c r="B171" s="61"/>
      <c r="C171" s="61"/>
      <c r="D171" s="970">
        <f>SUM(D169:D170)</f>
        <v>57600</v>
      </c>
      <c r="E171" s="970">
        <f>SUM(E170)</f>
        <v>57600</v>
      </c>
      <c r="F171" s="76"/>
      <c r="G171" s="61"/>
      <c r="H171" s="61"/>
    </row>
    <row r="172" spans="1:6" ht="12.75">
      <c r="A172" s="25"/>
      <c r="B172" s="26"/>
      <c r="C172" s="26"/>
      <c r="D172" s="26"/>
      <c r="E172" s="26"/>
      <c r="F172" s="263"/>
    </row>
  </sheetData>
  <printOptions/>
  <pageMargins left="0.75" right="0.75" top="1" bottom="1" header="0.5" footer="0.5"/>
  <pageSetup horizontalDpi="300" verticalDpi="300" orientation="landscape" paperSize="9" scale="52" r:id="rId1"/>
  <headerFooter alignWithMargins="0">
    <oddHeader>&amp;R&amp;D &amp;T</oddHeader>
  </headerFooter>
  <rowBreaks count="3" manualBreakCount="3">
    <brk id="52" max="255" man="1"/>
    <brk id="104" max="255" man="1"/>
    <brk id="135" max="255" man="1"/>
  </rowBreaks>
</worksheet>
</file>

<file path=xl/worksheets/sheet36.xml><?xml version="1.0" encoding="utf-8"?>
<worksheet xmlns="http://schemas.openxmlformats.org/spreadsheetml/2006/main" xmlns:r="http://schemas.openxmlformats.org/officeDocument/2006/relationships">
  <sheetPr>
    <pageSetUpPr fitToPage="1"/>
  </sheetPr>
  <dimension ref="A1:O70"/>
  <sheetViews>
    <sheetView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V16384"/>
    </sheetView>
  </sheetViews>
  <sheetFormatPr defaultColWidth="9.140625" defaultRowHeight="12.75"/>
  <cols>
    <col min="1" max="1" width="24.7109375" style="2" customWidth="1"/>
    <col min="2" max="2" width="11.28125" style="2" customWidth="1"/>
    <col min="3" max="3" width="7.140625" style="2" customWidth="1"/>
    <col min="4" max="4" width="12.8515625" style="2" customWidth="1"/>
    <col min="5" max="5" width="12.28125" style="2" customWidth="1"/>
    <col min="6" max="6" width="2.00390625" style="2" customWidth="1"/>
    <col min="7" max="7" width="11.8515625" style="2" customWidth="1"/>
    <col min="8" max="8" width="7.140625" style="2" customWidth="1"/>
    <col min="9" max="9" width="12.8515625" style="2" customWidth="1"/>
    <col min="10" max="10" width="11.8515625" style="2" customWidth="1"/>
    <col min="11" max="11" width="1.28515625" style="2" customWidth="1"/>
    <col min="12" max="12" width="12.28125" style="2" customWidth="1"/>
    <col min="13" max="13" width="7.8515625" style="2" customWidth="1"/>
    <col min="14" max="14" width="12.8515625" style="2" customWidth="1"/>
    <col min="15" max="15" width="12.28125" style="2" customWidth="1"/>
    <col min="16" max="16" width="4.57421875" style="2" customWidth="1"/>
    <col min="17" max="16384" width="8.8515625" style="2" customWidth="1"/>
  </cols>
  <sheetData>
    <row r="1" ht="12.75">
      <c r="A1" s="60" t="s">
        <v>888</v>
      </c>
    </row>
    <row r="2" ht="12.75">
      <c r="A2" s="60" t="s">
        <v>263</v>
      </c>
    </row>
    <row r="4" ht="12.75">
      <c r="A4" s="65" t="s">
        <v>889</v>
      </c>
    </row>
    <row r="6" spans="2:15" ht="12.75">
      <c r="B6" s="23"/>
      <c r="C6" s="24"/>
      <c r="D6" s="70" t="s">
        <v>890</v>
      </c>
      <c r="E6" s="71"/>
      <c r="G6" s="190" t="s">
        <v>891</v>
      </c>
      <c r="H6" s="24"/>
      <c r="I6" s="70" t="s">
        <v>890</v>
      </c>
      <c r="J6" s="71"/>
      <c r="L6" s="190" t="s">
        <v>892</v>
      </c>
      <c r="M6" s="24"/>
      <c r="N6" s="70" t="s">
        <v>890</v>
      </c>
      <c r="O6" s="71"/>
    </row>
    <row r="7" spans="2:15" ht="12.75">
      <c r="B7" s="72" t="s">
        <v>893</v>
      </c>
      <c r="C7" s="61"/>
      <c r="D7" s="73" t="s">
        <v>894</v>
      </c>
      <c r="E7" s="74" t="s">
        <v>329</v>
      </c>
      <c r="G7" s="72" t="s">
        <v>895</v>
      </c>
      <c r="H7" s="61"/>
      <c r="I7" s="73" t="s">
        <v>894</v>
      </c>
      <c r="J7" s="74" t="s">
        <v>329</v>
      </c>
      <c r="L7" s="72" t="s">
        <v>896</v>
      </c>
      <c r="M7" s="61"/>
      <c r="N7" s="73" t="s">
        <v>894</v>
      </c>
      <c r="O7" s="74" t="s">
        <v>329</v>
      </c>
    </row>
    <row r="8" spans="2:15" ht="12.75">
      <c r="B8" s="75"/>
      <c r="C8" s="61"/>
      <c r="D8" s="61"/>
      <c r="E8" s="76"/>
      <c r="G8" s="75"/>
      <c r="H8" s="61"/>
      <c r="I8" s="61"/>
      <c r="J8" s="76"/>
      <c r="L8" s="75"/>
      <c r="M8" s="61"/>
      <c r="N8" s="61"/>
      <c r="O8" s="76"/>
    </row>
    <row r="9" spans="1:15" ht="12.75">
      <c r="A9" s="2" t="s">
        <v>612</v>
      </c>
      <c r="B9" s="75"/>
      <c r="C9" s="61"/>
      <c r="D9" s="61"/>
      <c r="E9" s="76"/>
      <c r="G9" s="75"/>
      <c r="H9" s="61"/>
      <c r="I9" s="61"/>
      <c r="J9" s="76"/>
      <c r="L9" s="75"/>
      <c r="M9" s="61"/>
      <c r="N9" s="61"/>
      <c r="O9" s="76"/>
    </row>
    <row r="10" spans="2:15" ht="12.75">
      <c r="B10" s="75"/>
      <c r="C10" s="61"/>
      <c r="D10" s="61"/>
      <c r="E10" s="76"/>
      <c r="G10" s="75"/>
      <c r="H10" s="61"/>
      <c r="I10" s="61"/>
      <c r="J10" s="76"/>
      <c r="L10" s="75"/>
      <c r="M10" s="61"/>
      <c r="N10" s="61"/>
      <c r="O10" s="76"/>
    </row>
    <row r="11" spans="1:15" ht="12.75">
      <c r="A11" s="2" t="s">
        <v>333</v>
      </c>
      <c r="B11" s="77">
        <f>+segYTD!B11-segOct!B11</f>
        <v>199914.312</v>
      </c>
      <c r="C11" s="49" t="s">
        <v>911</v>
      </c>
      <c r="D11" s="49">
        <f>+segYTD!D11-segOct!D11</f>
        <v>0</v>
      </c>
      <c r="E11" s="78">
        <f>+D11+B11</f>
        <v>199914.312</v>
      </c>
      <c r="G11" s="77">
        <f>+segYTD!G11-segOct!G11</f>
        <v>20162.344999999998</v>
      </c>
      <c r="H11" s="85" t="s">
        <v>910</v>
      </c>
      <c r="I11" s="49">
        <f>+segYTD!I11-segOct!I11</f>
        <v>-911.373</v>
      </c>
      <c r="J11" s="78">
        <f>+G11+I11+I13</f>
        <v>49736.2783</v>
      </c>
      <c r="L11" s="77">
        <f>+segYTD!L11-segOct!L11</f>
        <v>142235.80299999999</v>
      </c>
      <c r="M11" s="49"/>
      <c r="N11" s="49">
        <f>+segYTD!N11-segOct!N11</f>
        <v>3647.241</v>
      </c>
      <c r="O11" s="78">
        <f>+L11+N11+N12+N13+N14</f>
        <v>132677.74930999998</v>
      </c>
    </row>
    <row r="12" spans="2:15" ht="12.75">
      <c r="B12" s="77"/>
      <c r="C12" s="49"/>
      <c r="D12" s="49"/>
      <c r="E12" s="78"/>
      <c r="G12" s="77"/>
      <c r="H12" s="85"/>
      <c r="I12" s="49"/>
      <c r="J12" s="78"/>
      <c r="L12" s="77"/>
      <c r="M12" s="49"/>
      <c r="N12" s="49">
        <f>+segYTD!N12-segOct!N12</f>
        <v>-11606.005</v>
      </c>
      <c r="O12" s="78"/>
    </row>
    <row r="13" spans="2:15" ht="12.75">
      <c r="B13" s="77"/>
      <c r="C13" s="49"/>
      <c r="D13" s="49"/>
      <c r="E13" s="78"/>
      <c r="G13" s="77"/>
      <c r="H13" s="85" t="s">
        <v>911</v>
      </c>
      <c r="I13" s="49">
        <f>+segYTD!I13-segOct!I13</f>
        <v>30485.3063</v>
      </c>
      <c r="J13" s="78"/>
      <c r="L13" s="77"/>
      <c r="M13" s="49"/>
      <c r="N13" s="49">
        <f>+segYTD!N13-segOct!N13</f>
        <v>-0.9</v>
      </c>
      <c r="O13" s="78"/>
    </row>
    <row r="14" spans="2:15" ht="12.75">
      <c r="B14" s="77"/>
      <c r="C14" s="49"/>
      <c r="D14" s="49"/>
      <c r="E14" s="78"/>
      <c r="G14" s="77"/>
      <c r="J14" s="78"/>
      <c r="L14" s="77"/>
      <c r="M14" s="49"/>
      <c r="N14" s="49">
        <f>+segYTD!N14-segOct!N14</f>
        <v>-1598.38969</v>
      </c>
      <c r="O14" s="78"/>
    </row>
    <row r="15" spans="1:15" ht="12.75">
      <c r="A15" s="2" t="s">
        <v>350</v>
      </c>
      <c r="B15" s="77">
        <f>+segYTD!B15-segOct!B15</f>
        <v>44037.889</v>
      </c>
      <c r="C15" s="49" t="s">
        <v>911</v>
      </c>
      <c r="D15" s="49">
        <f>+segYTD!D15-segOct!D15</f>
        <v>-30485.3063</v>
      </c>
      <c r="E15" s="78">
        <f>+D15+B15+D16</f>
        <v>13552.582700000003</v>
      </c>
      <c r="G15" s="77">
        <f>+segYTD!G15-segOct!G15</f>
        <v>2255.1840000000066</v>
      </c>
      <c r="H15" s="189" t="s">
        <v>913</v>
      </c>
      <c r="I15" s="49">
        <f>+segYTD!I15-segOct!I15</f>
        <v>0</v>
      </c>
      <c r="J15" s="78">
        <f>+G15+I15+I16+I17</f>
        <v>-28230.122299999995</v>
      </c>
      <c r="L15" s="77">
        <f>+segYTD!L15-segOct!L15</f>
        <v>26196.211</v>
      </c>
      <c r="M15" s="49"/>
      <c r="N15" s="49">
        <f>+segYTD!N15-segOct!N15</f>
        <v>0</v>
      </c>
      <c r="O15" s="78">
        <f>+L15+N15+N16+N17+N18</f>
        <v>20022.10359</v>
      </c>
    </row>
    <row r="16" spans="2:15" ht="12.75">
      <c r="B16" s="77"/>
      <c r="C16" s="49" t="s">
        <v>906</v>
      </c>
      <c r="D16" s="49">
        <f>segYTD!D16</f>
        <v>0</v>
      </c>
      <c r="E16" s="78"/>
      <c r="G16" s="77"/>
      <c r="H16" s="85" t="s">
        <v>908</v>
      </c>
      <c r="I16" s="49">
        <f>+segYTD!I16-segOct!I16</f>
        <v>0</v>
      </c>
      <c r="J16" s="78"/>
      <c r="L16" s="77"/>
      <c r="M16" s="49"/>
      <c r="N16" s="49">
        <f>+segYTD!N16-segOct!N16</f>
        <v>-4727.979</v>
      </c>
      <c r="O16" s="78"/>
    </row>
    <row r="17" spans="2:15" ht="12.75">
      <c r="B17" s="77"/>
      <c r="C17" s="49"/>
      <c r="D17" s="49"/>
      <c r="E17" s="78"/>
      <c r="G17" s="77"/>
      <c r="H17" s="85" t="s">
        <v>911</v>
      </c>
      <c r="I17" s="49">
        <f>+segYTD!I17-segOct!I17</f>
        <v>-30485.3063</v>
      </c>
      <c r="J17" s="78"/>
      <c r="L17" s="77"/>
      <c r="M17" s="49"/>
      <c r="N17" s="49">
        <f>+segYTD!N17-segOct!N17</f>
        <v>0</v>
      </c>
      <c r="O17" s="78"/>
    </row>
    <row r="18" spans="2:15" ht="12.75">
      <c r="B18" s="77"/>
      <c r="C18" s="49"/>
      <c r="D18" s="49"/>
      <c r="E18" s="78"/>
      <c r="G18" s="77"/>
      <c r="H18" s="85"/>
      <c r="I18" s="49"/>
      <c r="J18" s="78"/>
      <c r="L18" s="77"/>
      <c r="M18" s="49"/>
      <c r="N18" s="49">
        <f>+segYTD!N18-segOct!N18</f>
        <v>-1446.1284099999996</v>
      </c>
      <c r="O18" s="78"/>
    </row>
    <row r="19" spans="1:15" ht="12.75">
      <c r="A19" s="2" t="s">
        <v>332</v>
      </c>
      <c r="B19" s="77">
        <f>+segYTD!B19-segOct!B19</f>
        <v>0</v>
      </c>
      <c r="C19" s="49" t="s">
        <v>911</v>
      </c>
      <c r="D19" s="49">
        <f>+segYTD!D19-segOct!D19</f>
        <v>0</v>
      </c>
      <c r="E19" s="78">
        <f>+D19+B19</f>
        <v>0</v>
      </c>
      <c r="G19" s="77">
        <f>+segYTD!G19-segOct!G19</f>
        <v>-0.5729999999999995</v>
      </c>
      <c r="H19" s="189" t="s">
        <v>913</v>
      </c>
      <c r="I19" s="49">
        <f>+segYTD!I19-segOct!I19</f>
        <v>0</v>
      </c>
      <c r="J19" s="78">
        <f>+I19+G19+I20+I21+I22</f>
        <v>-0.5729999999999995</v>
      </c>
      <c r="L19" s="77">
        <f>+segYTD!L19-segOct!L19</f>
        <v>32.2541</v>
      </c>
      <c r="M19" s="49"/>
      <c r="N19" s="49">
        <f>+segYTD!N19-segOct!N19</f>
        <v>-3.095</v>
      </c>
      <c r="O19" s="78">
        <f>+L19+N19+N20</f>
        <v>29.159100000000002</v>
      </c>
    </row>
    <row r="20" spans="2:15" ht="12.75">
      <c r="B20" s="77"/>
      <c r="C20" s="49"/>
      <c r="D20" s="49"/>
      <c r="E20" s="78"/>
      <c r="G20" s="77"/>
      <c r="H20" s="85" t="s">
        <v>908</v>
      </c>
      <c r="I20" s="49">
        <f>+segYTD!I20-segOct!I20</f>
        <v>0</v>
      </c>
      <c r="J20" s="78"/>
      <c r="L20" s="77"/>
      <c r="M20" s="49"/>
      <c r="N20" s="49">
        <f>+segYTD!N20-segOct!N20</f>
        <v>0</v>
      </c>
      <c r="O20" s="78"/>
    </row>
    <row r="21" spans="2:15" ht="12.75">
      <c r="B21" s="77"/>
      <c r="C21" s="49"/>
      <c r="D21" s="49"/>
      <c r="E21" s="78"/>
      <c r="G21" s="77"/>
      <c r="H21" s="85" t="s">
        <v>1316</v>
      </c>
      <c r="I21" s="49">
        <v>0</v>
      </c>
      <c r="J21" s="78"/>
      <c r="L21" s="77"/>
      <c r="M21" s="49"/>
      <c r="N21" s="49"/>
      <c r="O21" s="78"/>
    </row>
    <row r="22" spans="2:15" ht="12.75">
      <c r="B22" s="77"/>
      <c r="C22" s="49"/>
      <c r="D22" s="49"/>
      <c r="E22" s="78"/>
      <c r="G22" s="77"/>
      <c r="H22" s="85" t="s">
        <v>911</v>
      </c>
      <c r="I22" s="49">
        <f>+segYTD!I21-segOct!I22</f>
        <v>0</v>
      </c>
      <c r="J22" s="78"/>
      <c r="L22" s="77"/>
      <c r="M22" s="49"/>
      <c r="N22" s="49"/>
      <c r="O22" s="78"/>
    </row>
    <row r="23" spans="2:15" ht="12.75">
      <c r="B23" s="77"/>
      <c r="C23" s="49"/>
      <c r="D23" s="49"/>
      <c r="E23" s="78"/>
      <c r="G23" s="77"/>
      <c r="H23" s="85"/>
      <c r="I23" s="49"/>
      <c r="J23" s="78"/>
      <c r="L23" s="77"/>
      <c r="M23" s="49"/>
      <c r="N23" s="49"/>
      <c r="O23" s="78"/>
    </row>
    <row r="24" spans="1:15" ht="12.75">
      <c r="A24" s="2" t="s">
        <v>323</v>
      </c>
      <c r="B24" s="77">
        <f>+segYTD!B24-segOct!B24</f>
        <v>816.608</v>
      </c>
      <c r="C24" s="49" t="s">
        <v>911</v>
      </c>
      <c r="D24" s="49">
        <f>+segYTD!D24-segOct!D24</f>
        <v>-779.856</v>
      </c>
      <c r="E24" s="78">
        <f>+D24+B24</f>
        <v>36.75199999999995</v>
      </c>
      <c r="G24" s="77">
        <f>+segYTD!G24-segOct!G24</f>
        <v>-426.683</v>
      </c>
      <c r="H24" s="189" t="s">
        <v>913</v>
      </c>
      <c r="I24" s="49">
        <f>+segYTD!I24-segOct!I24</f>
        <v>0</v>
      </c>
      <c r="J24" s="78">
        <f>+G24+I24+I25+I26+I27</f>
        <v>-1206.539</v>
      </c>
      <c r="L24" s="77">
        <f>+segYTD!L24-segOct!L24</f>
        <v>661.475</v>
      </c>
      <c r="M24" s="49"/>
      <c r="N24" s="49">
        <f>+segYTD!N24-segOct!N24</f>
        <v>-420.243</v>
      </c>
      <c r="O24" s="78">
        <f>+L24+N24+N25</f>
        <v>241.23200000000003</v>
      </c>
    </row>
    <row r="25" spans="2:15" ht="12.75">
      <c r="B25" s="77"/>
      <c r="C25" s="49"/>
      <c r="D25" s="49"/>
      <c r="E25" s="78"/>
      <c r="G25" s="77"/>
      <c r="H25" s="85" t="s">
        <v>908</v>
      </c>
      <c r="I25" s="49">
        <f>+segYTD!I25-segOct!I25</f>
        <v>0</v>
      </c>
      <c r="J25" s="78"/>
      <c r="L25" s="77"/>
      <c r="M25" s="49"/>
      <c r="N25" s="49">
        <f>+segYTD!N25-segOct!N25</f>
        <v>0</v>
      </c>
      <c r="O25" s="78"/>
    </row>
    <row r="26" spans="2:15" ht="12.75">
      <c r="B26" s="77"/>
      <c r="C26" s="49"/>
      <c r="D26" s="49"/>
      <c r="E26" s="78"/>
      <c r="G26" s="77"/>
      <c r="H26" s="85" t="s">
        <v>911</v>
      </c>
      <c r="I26" s="49">
        <f>+segYTD!I26-segOct!I26</f>
        <v>0</v>
      </c>
      <c r="J26" s="78"/>
      <c r="L26" s="77"/>
      <c r="M26" s="49"/>
      <c r="N26" s="49"/>
      <c r="O26" s="78"/>
    </row>
    <row r="27" spans="2:15" ht="12.75">
      <c r="B27" s="77"/>
      <c r="C27" s="49"/>
      <c r="D27" s="49"/>
      <c r="E27" s="78"/>
      <c r="G27" s="77"/>
      <c r="H27" s="85" t="s">
        <v>911</v>
      </c>
      <c r="I27" s="49">
        <f>+segYTD!I27-segOct!I27</f>
        <v>-779.856</v>
      </c>
      <c r="J27" s="78"/>
      <c r="L27" s="77"/>
      <c r="M27" s="49"/>
      <c r="N27" s="49"/>
      <c r="O27" s="78"/>
    </row>
    <row r="28" spans="2:15" ht="12.75">
      <c r="B28" s="46">
        <f>SUM(B11:B24)</f>
        <v>244768.809</v>
      </c>
      <c r="C28" s="61"/>
      <c r="D28" s="64">
        <f>SUM(D11:D24)</f>
        <v>-31265.1623</v>
      </c>
      <c r="E28" s="47">
        <f>SUM(E11:E24)</f>
        <v>213503.6467</v>
      </c>
      <c r="G28" s="46">
        <f>SUM(G11:G24)</f>
        <v>21990.273</v>
      </c>
      <c r="H28" s="61"/>
      <c r="I28" s="64">
        <f>SUM(I11:I27)</f>
        <v>-1691.2289999999996</v>
      </c>
      <c r="J28" s="47">
        <f>SUM(J11:J24)</f>
        <v>20299.044</v>
      </c>
      <c r="L28" s="46">
        <f>SUM(L11:L24)</f>
        <v>169125.7431</v>
      </c>
      <c r="M28" s="61"/>
      <c r="N28" s="64">
        <f>SUM(N11:N24)</f>
        <v>-16155.499099999999</v>
      </c>
      <c r="O28" s="47">
        <f>SUM(O11:O24)</f>
        <v>152970.24399999998</v>
      </c>
    </row>
    <row r="29" spans="2:15" ht="12.75">
      <c r="B29" s="75"/>
      <c r="C29" s="61"/>
      <c r="D29" s="61"/>
      <c r="E29" s="76"/>
      <c r="G29" s="75"/>
      <c r="H29" s="61"/>
      <c r="I29" s="61"/>
      <c r="J29" s="82"/>
      <c r="L29" s="75"/>
      <c r="M29" s="61"/>
      <c r="N29" s="61"/>
      <c r="O29" s="76"/>
    </row>
    <row r="30" spans="1:15" ht="12.75">
      <c r="A30" s="2" t="s">
        <v>897</v>
      </c>
      <c r="B30" s="75"/>
      <c r="C30" s="61"/>
      <c r="D30" s="61"/>
      <c r="E30" s="76"/>
      <c r="G30" s="75"/>
      <c r="H30" s="61"/>
      <c r="I30" s="61"/>
      <c r="J30" s="76"/>
      <c r="L30" s="75"/>
      <c r="M30" s="61"/>
      <c r="N30" s="61"/>
      <c r="O30" s="76"/>
    </row>
    <row r="31" spans="2:15" ht="12.75">
      <c r="B31" s="75"/>
      <c r="C31" s="61"/>
      <c r="D31" s="61"/>
      <c r="E31" s="76"/>
      <c r="G31" s="75"/>
      <c r="H31" s="61"/>
      <c r="I31" s="61"/>
      <c r="J31" s="76"/>
      <c r="L31" s="75"/>
      <c r="M31" s="61"/>
      <c r="N31" s="61"/>
      <c r="O31" s="76"/>
    </row>
    <row r="32" spans="1:15" ht="12.75">
      <c r="A32" s="2" t="s">
        <v>898</v>
      </c>
      <c r="B32" s="77">
        <f>+segYTD!B32-segOct!B32</f>
        <v>0</v>
      </c>
      <c r="C32" s="49" t="s">
        <v>911</v>
      </c>
      <c r="D32" s="49">
        <f>+segYTD!D32-segOct!D32</f>
        <v>0</v>
      </c>
      <c r="E32" s="78">
        <f aca="true" t="shared" si="0" ref="E32:E41">+D32+B32</f>
        <v>0</v>
      </c>
      <c r="G32" s="77">
        <f>+segYTD!G32-segOct!G32</f>
        <v>-55.588999999999984</v>
      </c>
      <c r="H32" s="49" t="s">
        <v>911</v>
      </c>
      <c r="I32" s="49">
        <f>+segYTD!I32-segOct!I32</f>
        <v>0</v>
      </c>
      <c r="J32" s="78">
        <f>+I32+G32+I33</f>
        <v>-55.588999999999984</v>
      </c>
      <c r="L32" s="77">
        <f>+segYTD!L32-segOct!L32</f>
        <v>372.43499999999995</v>
      </c>
      <c r="M32" s="49"/>
      <c r="N32" s="49">
        <f>+segYTD!N32-segOct!N32</f>
        <v>0</v>
      </c>
      <c r="O32" s="78">
        <f>+N32+L32</f>
        <v>372.43499999999995</v>
      </c>
    </row>
    <row r="33" spans="2:15" ht="12.75">
      <c r="B33" s="77"/>
      <c r="C33" s="49"/>
      <c r="D33" s="49"/>
      <c r="E33" s="78"/>
      <c r="G33" s="77"/>
      <c r="H33" s="49" t="s">
        <v>911</v>
      </c>
      <c r="I33" s="49">
        <f>+segYTD!I33-segOct!I33</f>
        <v>0</v>
      </c>
      <c r="J33" s="78"/>
      <c r="L33" s="77"/>
      <c r="M33" s="49"/>
      <c r="N33" s="49"/>
      <c r="O33" s="78"/>
    </row>
    <row r="34" spans="1:15" ht="12.75">
      <c r="A34" s="2" t="s">
        <v>899</v>
      </c>
      <c r="B34" s="77">
        <f>+segYTD!B34-segOct!B34</f>
        <v>1056.506</v>
      </c>
      <c r="C34" s="49" t="s">
        <v>911</v>
      </c>
      <c r="D34" s="49">
        <f>+segYTD!D34-segOct!D34</f>
        <v>0</v>
      </c>
      <c r="E34" s="78">
        <f t="shared" si="0"/>
        <v>1056.506</v>
      </c>
      <c r="G34" s="77">
        <f>+segYTD!G34-segOct!G34</f>
        <v>459.34700000000026</v>
      </c>
      <c r="H34" s="49" t="s">
        <v>911</v>
      </c>
      <c r="I34" s="49">
        <f>+segYTD!I34-segOct!I34</f>
        <v>0</v>
      </c>
      <c r="J34" s="78">
        <f>+I34+G34+I35</f>
        <v>1239.2030000000002</v>
      </c>
      <c r="L34" s="77">
        <f>+segYTD!L34-segOct!L34</f>
        <v>5526.998</v>
      </c>
      <c r="M34" s="49"/>
      <c r="N34" s="49">
        <f>+segYTD!N34-segOct!N34</f>
        <v>0</v>
      </c>
      <c r="O34" s="78">
        <f aca="true" t="shared" si="1" ref="O34:O43">+N34+L34</f>
        <v>5526.998</v>
      </c>
    </row>
    <row r="35" spans="2:15" ht="12.75">
      <c r="B35" s="77"/>
      <c r="C35" s="49"/>
      <c r="D35" s="49"/>
      <c r="E35" s="78"/>
      <c r="G35" s="77"/>
      <c r="H35" s="49" t="s">
        <v>911</v>
      </c>
      <c r="I35" s="49">
        <f>+segYTD!I35-segOct!I35</f>
        <v>779.856</v>
      </c>
      <c r="J35" s="78"/>
      <c r="L35" s="77"/>
      <c r="M35" s="49"/>
      <c r="N35" s="49"/>
      <c r="O35" s="78"/>
    </row>
    <row r="36" spans="1:15" ht="12.75">
      <c r="A36" s="2" t="s">
        <v>900</v>
      </c>
      <c r="B36" s="77">
        <f>+segYTD!B37-segOct!B36</f>
        <v>0</v>
      </c>
      <c r="C36" s="49" t="s">
        <v>911</v>
      </c>
      <c r="D36" s="49">
        <f>+segYTD!D37-segOct!D36</f>
        <v>0</v>
      </c>
      <c r="E36" s="78">
        <f t="shared" si="0"/>
        <v>0</v>
      </c>
      <c r="G36" s="77">
        <f>+segYTD!G37-segOct!G36</f>
        <v>12.360999999999997</v>
      </c>
      <c r="H36" s="49" t="s">
        <v>911</v>
      </c>
      <c r="I36" s="49">
        <f>+segYTD!I37-segOct!I36</f>
        <v>0</v>
      </c>
      <c r="J36" s="78">
        <f>+I36+G36+I37</f>
        <v>12.360999999999997</v>
      </c>
      <c r="L36" s="77">
        <f>+segYTD!L37-segOct!L36</f>
        <v>1938.645</v>
      </c>
      <c r="M36" s="49"/>
      <c r="N36" s="49">
        <f>+segYTD!N37-segOct!N36</f>
        <v>0</v>
      </c>
      <c r="O36" s="78">
        <f t="shared" si="1"/>
        <v>1938.645</v>
      </c>
    </row>
    <row r="37" spans="2:15" ht="12.75">
      <c r="B37" s="77"/>
      <c r="C37" s="49"/>
      <c r="D37" s="49"/>
      <c r="E37" s="78"/>
      <c r="G37" s="77"/>
      <c r="H37" s="49" t="s">
        <v>911</v>
      </c>
      <c r="I37" s="49">
        <f>+segYTD!I38-segOct!I37</f>
        <v>0</v>
      </c>
      <c r="J37" s="78"/>
      <c r="L37" s="77"/>
      <c r="M37" s="49"/>
      <c r="N37" s="49"/>
      <c r="O37" s="78"/>
    </row>
    <row r="38" spans="1:15" ht="12.75">
      <c r="A38" s="2" t="s">
        <v>901</v>
      </c>
      <c r="B38" s="77">
        <f>+segYTD!B39-segOct!B38</f>
        <v>0</v>
      </c>
      <c r="C38" s="49" t="s">
        <v>911</v>
      </c>
      <c r="D38" s="49">
        <f>+segYTD!D39-segOct!D38</f>
        <v>0</v>
      </c>
      <c r="E38" s="78">
        <f t="shared" si="0"/>
        <v>0</v>
      </c>
      <c r="G38" s="77">
        <f>+segYTD!G39-segOct!G38</f>
        <v>13.372999999999998</v>
      </c>
      <c r="H38" s="49" t="s">
        <v>911</v>
      </c>
      <c r="I38" s="49">
        <f>+segYTD!I39-segOct!I38</f>
        <v>0</v>
      </c>
      <c r="J38" s="78">
        <f>+I38+G38+I39</f>
        <v>13.372999999999998</v>
      </c>
      <c r="L38" s="77">
        <f>+segYTD!L39-segOct!L38</f>
        <v>31.068</v>
      </c>
      <c r="M38" s="49"/>
      <c r="N38" s="49">
        <f>+segYTD!N39-segOct!N38</f>
        <v>0</v>
      </c>
      <c r="O38" s="78">
        <f t="shared" si="1"/>
        <v>31.068</v>
      </c>
    </row>
    <row r="39" spans="2:15" ht="12.75">
      <c r="B39" s="77"/>
      <c r="C39" s="49"/>
      <c r="D39" s="49"/>
      <c r="E39" s="78"/>
      <c r="G39" s="77"/>
      <c r="H39" s="49" t="s">
        <v>911</v>
      </c>
      <c r="I39" s="49">
        <f>+segYTD!I40-segOct!I39</f>
        <v>0</v>
      </c>
      <c r="J39" s="78"/>
      <c r="L39" s="77"/>
      <c r="M39" s="49"/>
      <c r="N39" s="49"/>
      <c r="O39" s="78"/>
    </row>
    <row r="40" spans="1:15" ht="12.75">
      <c r="A40" s="2" t="s">
        <v>902</v>
      </c>
      <c r="B40" s="77">
        <f>+segYTD!B41-segOct!B40</f>
        <v>0</v>
      </c>
      <c r="C40" s="49"/>
      <c r="D40" s="49">
        <f>+segYTD!D41-segOct!D40</f>
        <v>0</v>
      </c>
      <c r="E40" s="78">
        <f t="shared" si="0"/>
        <v>0</v>
      </c>
      <c r="G40" s="77">
        <f>+segYTD!G41-segOct!G40</f>
        <v>-6.996</v>
      </c>
      <c r="H40" s="49"/>
      <c r="I40" s="49">
        <f>+segYTD!I41-segOct!I40</f>
        <v>0</v>
      </c>
      <c r="J40" s="78">
        <f>+I40+G40</f>
        <v>-6.996</v>
      </c>
      <c r="L40" s="77">
        <f>+segYTD!L41-segOct!L40</f>
        <v>84.13100000000001</v>
      </c>
      <c r="M40" s="49"/>
      <c r="N40" s="49">
        <f>+segYTD!N41-segOct!N40</f>
        <v>0</v>
      </c>
      <c r="O40" s="78">
        <f t="shared" si="1"/>
        <v>84.13100000000001</v>
      </c>
    </row>
    <row r="41" spans="1:15" ht="12.75">
      <c r="A41" s="2" t="s">
        <v>324</v>
      </c>
      <c r="B41" s="77">
        <f>+segYTD!B42-segOct!B41</f>
        <v>0</v>
      </c>
      <c r="C41" s="49" t="s">
        <v>911</v>
      </c>
      <c r="D41" s="49">
        <f>+segYTD!D42-segOct!D41</f>
        <v>0</v>
      </c>
      <c r="E41" s="78">
        <f t="shared" si="0"/>
        <v>0</v>
      </c>
      <c r="G41" s="77">
        <f>+segYTD!G42-segOct!G41</f>
        <v>-2.867</v>
      </c>
      <c r="H41" s="49" t="s">
        <v>911</v>
      </c>
      <c r="I41" s="49">
        <f>+segYTD!I42-segOct!I41</f>
        <v>0</v>
      </c>
      <c r="J41" s="78">
        <f>+I41+G41</f>
        <v>-2.867</v>
      </c>
      <c r="L41" s="77">
        <f>+segYTD!L42-segOct!L41</f>
        <v>1521.487</v>
      </c>
      <c r="M41" s="49"/>
      <c r="N41" s="49">
        <f>+segYTD!N42-segOct!N41</f>
        <v>-1448.804</v>
      </c>
      <c r="O41" s="78">
        <f t="shared" si="1"/>
        <v>72.68299999999999</v>
      </c>
    </row>
    <row r="42" spans="1:15" ht="12.75">
      <c r="A42" s="2" t="s">
        <v>325</v>
      </c>
      <c r="B42" s="77">
        <f>+segYTD!B43-segOct!B42</f>
        <v>0</v>
      </c>
      <c r="C42" s="49"/>
      <c r="D42" s="49">
        <f>+segYTD!D43-segOct!D42</f>
        <v>0</v>
      </c>
      <c r="E42" s="78">
        <v>0</v>
      </c>
      <c r="G42" s="77">
        <f>+segYTD!G43-segOct!G42</f>
        <v>65.54899999999999</v>
      </c>
      <c r="H42" s="49"/>
      <c r="I42" s="49">
        <f>+segYTD!I43-segOct!I42</f>
        <v>0</v>
      </c>
      <c r="J42" s="78">
        <f>+G42</f>
        <v>65.54899999999999</v>
      </c>
      <c r="L42" s="77">
        <f>+segYTD!L43-segOct!L42</f>
        <v>3345.009</v>
      </c>
      <c r="M42" s="49"/>
      <c r="N42" s="49">
        <f>+segYTD!N43-segOct!N42</f>
        <v>-500.012</v>
      </c>
      <c r="O42" s="78">
        <f t="shared" si="1"/>
        <v>2844.997</v>
      </c>
    </row>
    <row r="43" spans="1:15" ht="12.75">
      <c r="A43" s="2" t="s">
        <v>336</v>
      </c>
      <c r="B43" s="77">
        <f>+segYTD!B44-segOct!B43</f>
        <v>0</v>
      </c>
      <c r="C43" s="49"/>
      <c r="D43" s="49">
        <f>+segYTD!D44-segOct!D43</f>
        <v>0</v>
      </c>
      <c r="E43" s="78">
        <v>0</v>
      </c>
      <c r="G43" s="77">
        <f>+segYTD!G44-segOct!G43</f>
        <v>-0.8899999999999999</v>
      </c>
      <c r="H43" s="49"/>
      <c r="I43" s="49">
        <f>+segYTD!I44-segOct!I43</f>
        <v>0</v>
      </c>
      <c r="J43" s="78">
        <f>+I43+G43</f>
        <v>-0.8899999999999999</v>
      </c>
      <c r="L43" s="77">
        <f>+segYTD!L44-segOct!L43</f>
        <v>29.011</v>
      </c>
      <c r="M43" s="49"/>
      <c r="N43" s="49">
        <f>+segYTD!N44-segOct!N43</f>
        <v>-8</v>
      </c>
      <c r="O43" s="78">
        <f t="shared" si="1"/>
        <v>21.011</v>
      </c>
    </row>
    <row r="44" spans="2:15" ht="12.75">
      <c r="B44" s="80">
        <f>SUM(B32:B43)</f>
        <v>1056.506</v>
      </c>
      <c r="C44" s="61"/>
      <c r="D44" s="68">
        <f>SUM(D32:D43)</f>
        <v>0</v>
      </c>
      <c r="E44" s="81">
        <f>SUM(E32:E43)</f>
        <v>1056.506</v>
      </c>
      <c r="G44" s="80">
        <f>SUM(G32:G43)</f>
        <v>484.28800000000024</v>
      </c>
      <c r="H44" s="61"/>
      <c r="I44" s="68">
        <f>SUM(I32:I43)</f>
        <v>779.856</v>
      </c>
      <c r="J44" s="81">
        <f>SUM(J32:J43)</f>
        <v>1264.1440000000002</v>
      </c>
      <c r="L44" s="80">
        <f>SUM(L32:L43)</f>
        <v>12848.784</v>
      </c>
      <c r="M44" s="61"/>
      <c r="N44" s="68">
        <f>SUM(N32:N43)</f>
        <v>-1956.816</v>
      </c>
      <c r="O44" s="81">
        <f>SUM(O32:O43)</f>
        <v>10891.968</v>
      </c>
    </row>
    <row r="45" spans="2:15" ht="12.75">
      <c r="B45" s="75"/>
      <c r="C45" s="61"/>
      <c r="D45" s="84"/>
      <c r="E45" s="76"/>
      <c r="G45" s="75"/>
      <c r="H45" s="61"/>
      <c r="I45" s="61"/>
      <c r="J45" s="76"/>
      <c r="L45" s="75"/>
      <c r="M45" s="61"/>
      <c r="N45" s="61"/>
      <c r="O45" s="76"/>
    </row>
    <row r="46" spans="1:15" ht="12.75">
      <c r="A46" s="2" t="s">
        <v>872</v>
      </c>
      <c r="B46" s="75"/>
      <c r="C46" s="61"/>
      <c r="D46" s="89"/>
      <c r="E46" s="76"/>
      <c r="G46" s="75"/>
      <c r="H46" s="61"/>
      <c r="I46" s="61"/>
      <c r="J46" s="76"/>
      <c r="L46" s="75"/>
      <c r="M46" s="61"/>
      <c r="N46" s="61"/>
      <c r="O46" s="76"/>
    </row>
    <row r="47" spans="2:15" ht="12.75">
      <c r="B47" s="75"/>
      <c r="C47" s="61"/>
      <c r="D47" s="61"/>
      <c r="E47" s="76"/>
      <c r="G47" s="75"/>
      <c r="H47" s="61"/>
      <c r="I47" s="61"/>
      <c r="J47" s="76"/>
      <c r="L47" s="75"/>
      <c r="M47" s="61"/>
      <c r="N47" s="61"/>
      <c r="O47" s="76"/>
    </row>
    <row r="48" spans="1:15" ht="12.75">
      <c r="A48" s="2" t="s">
        <v>318</v>
      </c>
      <c r="B48" s="77">
        <f>+segYTD!B50-segOct!B48</f>
        <v>0</v>
      </c>
      <c r="C48" s="49" t="s">
        <v>906</v>
      </c>
      <c r="D48" s="49">
        <f>+segYTD!D50-segOct!D48</f>
        <v>0</v>
      </c>
      <c r="E48" s="78">
        <f>+B48+D48</f>
        <v>0</v>
      </c>
      <c r="G48" s="77">
        <f>+segYTD!G50-segOct!G48</f>
        <v>1350.7309999999998</v>
      </c>
      <c r="H48" s="49" t="s">
        <v>909</v>
      </c>
      <c r="I48" s="49">
        <f>+segYTD!I50-segOct!I48</f>
        <v>636.5802000000001</v>
      </c>
      <c r="J48" s="78">
        <f>+G48+I48+I49+I50+I51+I52</f>
        <v>1987.3111999999999</v>
      </c>
      <c r="L48" s="77">
        <f>+segYTD!L50-segOct!L48</f>
        <v>87534.70369</v>
      </c>
      <c r="M48" s="49"/>
      <c r="N48" s="49">
        <f>+segYTD!N50-segOct!N48</f>
        <v>-83510.62969</v>
      </c>
      <c r="O48" s="78">
        <f>+N48+L48+N49+N50+N51+N52</f>
        <v>4122.93668999999</v>
      </c>
    </row>
    <row r="49" spans="2:15" ht="12.75">
      <c r="B49" s="77"/>
      <c r="D49" s="49">
        <f>+segYTD!D51-segOct!D49</f>
        <v>0</v>
      </c>
      <c r="E49" s="78"/>
      <c r="G49" s="77"/>
      <c r="H49" s="49"/>
      <c r="I49" s="49">
        <v>0</v>
      </c>
      <c r="J49" s="78"/>
      <c r="L49" s="77"/>
      <c r="M49" s="49"/>
      <c r="N49" s="49">
        <f>+segYTD!N51-segOct!N49</f>
        <v>0</v>
      </c>
      <c r="O49" s="78"/>
    </row>
    <row r="50" spans="2:15" ht="12.75">
      <c r="B50" s="77"/>
      <c r="C50" s="49"/>
      <c r="D50" s="49">
        <f>+segYTD!D52-segOct!D50</f>
        <v>0</v>
      </c>
      <c r="E50" s="78"/>
      <c r="G50" s="77"/>
      <c r="H50" s="49" t="s">
        <v>1316</v>
      </c>
      <c r="I50" s="49">
        <v>0</v>
      </c>
      <c r="J50" s="78"/>
      <c r="L50" s="77"/>
      <c r="M50" s="49"/>
      <c r="N50" s="49">
        <f>+segYTD!N52-segOct!N50</f>
        <v>98.86268999999761</v>
      </c>
      <c r="O50" s="78"/>
    </row>
    <row r="51" spans="2:15" ht="12.75">
      <c r="B51" s="77"/>
      <c r="C51" s="49"/>
      <c r="D51" s="49">
        <f>+segYTD!D53-segOct!D51</f>
        <v>0</v>
      </c>
      <c r="E51" s="78"/>
      <c r="G51" s="77"/>
      <c r="H51" s="49" t="s">
        <v>222</v>
      </c>
      <c r="I51" s="49">
        <f>+segYTD!I51-segOct!I51</f>
        <v>0</v>
      </c>
      <c r="J51" s="78"/>
      <c r="L51" s="77"/>
      <c r="M51" s="49"/>
      <c r="N51" s="49">
        <f>+segYTD!N53-segOct!N51</f>
        <v>0</v>
      </c>
      <c r="O51" s="78"/>
    </row>
    <row r="52" spans="2:15" ht="12.75">
      <c r="B52" s="77"/>
      <c r="C52" s="49"/>
      <c r="D52" s="49">
        <f>+segYTD!D54-segOct!D52</f>
        <v>0</v>
      </c>
      <c r="E52" s="78"/>
      <c r="G52" s="77"/>
      <c r="H52" s="9"/>
      <c r="I52" s="49">
        <f>+segYTD!I53-segOct!I52</f>
        <v>0</v>
      </c>
      <c r="J52" s="78"/>
      <c r="L52" s="77"/>
      <c r="M52" s="49"/>
      <c r="N52" s="49"/>
      <c r="O52" s="78"/>
    </row>
    <row r="53" spans="1:15" ht="12.75">
      <c r="A53" s="2" t="s">
        <v>328</v>
      </c>
      <c r="B53" s="77">
        <f>+segYTD!B55-segOct!B53</f>
        <v>0</v>
      </c>
      <c r="C53" s="49"/>
      <c r="D53" s="49">
        <f>+segYTD!D55-segOct!D53</f>
        <v>0</v>
      </c>
      <c r="E53" s="78">
        <f>+D53+B53</f>
        <v>0</v>
      </c>
      <c r="G53" s="77">
        <f>+segYTD!G55-segOct!G53</f>
        <v>-1.647</v>
      </c>
      <c r="I53" s="49">
        <f>+segYTD!I55-segOct!I53</f>
        <v>0</v>
      </c>
      <c r="J53" s="78">
        <f>+G53</f>
        <v>-1.647</v>
      </c>
      <c r="L53" s="77">
        <f>+segYTD!L55-segOct!L53</f>
        <v>0.0020000000000000018</v>
      </c>
      <c r="M53" s="49"/>
      <c r="N53" s="49">
        <f>+segYTD!N55-segOct!N53</f>
        <v>0</v>
      </c>
      <c r="O53" s="78">
        <f aca="true" t="shared" si="2" ref="O53:O58">+N53+L53</f>
        <v>0.0020000000000000018</v>
      </c>
    </row>
    <row r="54" spans="1:15" ht="12.75">
      <c r="A54" s="2" t="s">
        <v>327</v>
      </c>
      <c r="B54" s="77">
        <f>+segYTD!B56-segOct!B54</f>
        <v>0</v>
      </c>
      <c r="C54" s="49"/>
      <c r="D54" s="49">
        <f>+segYTD!D56-segOct!D54</f>
        <v>0</v>
      </c>
      <c r="E54" s="78">
        <f>+D54+B54</f>
        <v>0</v>
      </c>
      <c r="G54" s="77">
        <f>+segYTD!G56-segOct!G54</f>
        <v>-192.455</v>
      </c>
      <c r="H54" s="49"/>
      <c r="I54" s="49">
        <f>+segYTD!I56-segOct!I54</f>
        <v>0</v>
      </c>
      <c r="J54" s="78">
        <f>+G54</f>
        <v>-192.455</v>
      </c>
      <c r="L54" s="77">
        <f>+segYTD!L56-segOct!L54</f>
        <v>2034.7939999999999</v>
      </c>
      <c r="M54" s="49"/>
      <c r="N54" s="49">
        <f>+segYTD!N56-segOct!N54</f>
        <v>0</v>
      </c>
      <c r="O54" s="78">
        <f t="shared" si="2"/>
        <v>2034.7939999999999</v>
      </c>
    </row>
    <row r="55" spans="1:15" ht="12.75">
      <c r="A55" s="2" t="s">
        <v>903</v>
      </c>
      <c r="B55" s="77">
        <f>+segYTD!B57-segOct!B55</f>
        <v>0</v>
      </c>
      <c r="C55" s="49"/>
      <c r="D55" s="49">
        <f>+segYTD!D57-segOct!D55</f>
        <v>0</v>
      </c>
      <c r="E55" s="78">
        <f>+D55+B55</f>
        <v>0</v>
      </c>
      <c r="G55" s="77">
        <f>+segYTD!G57-segOct!G55</f>
        <v>-2.109</v>
      </c>
      <c r="H55" s="49"/>
      <c r="I55" s="49">
        <f>+segYTD!I57-segOct!I55</f>
        <v>0</v>
      </c>
      <c r="J55" s="78">
        <f>+G55+I55</f>
        <v>-2.109</v>
      </c>
      <c r="L55" s="77">
        <f>+segYTD!L57-segOct!L55</f>
        <v>2694.063</v>
      </c>
      <c r="M55" s="49"/>
      <c r="N55" s="49">
        <f>+segYTD!N57-segOct!N55</f>
        <v>-2694.061</v>
      </c>
      <c r="O55" s="78">
        <f t="shared" si="2"/>
        <v>0.0019999999999527063</v>
      </c>
    </row>
    <row r="56" spans="1:15" ht="12.75">
      <c r="A56" s="2" t="s">
        <v>904</v>
      </c>
      <c r="B56" s="77">
        <f>+segYTD!B59-segOct!B56</f>
        <v>0</v>
      </c>
      <c r="C56" s="49"/>
      <c r="D56" s="49">
        <f>+segYTD!D59-segOct!D56</f>
        <v>0</v>
      </c>
      <c r="E56" s="78">
        <f>+D56+B56</f>
        <v>0</v>
      </c>
      <c r="G56" s="77">
        <f>+segYTD!G59-segOct!G56</f>
        <v>-1.204</v>
      </c>
      <c r="H56" s="49"/>
      <c r="I56" s="49">
        <f>+segYTD!I59-segOct!I56</f>
        <v>0</v>
      </c>
      <c r="J56" s="78">
        <f>+G56</f>
        <v>-1.204</v>
      </c>
      <c r="L56" s="77">
        <f>+segYTD!L59-segOct!L56</f>
        <v>75.262</v>
      </c>
      <c r="M56" s="49"/>
      <c r="N56" s="49">
        <f>+segYTD!N59-segOct!N56</f>
        <v>-75.262</v>
      </c>
      <c r="O56" s="78">
        <f t="shared" si="2"/>
        <v>0</v>
      </c>
    </row>
    <row r="57" spans="1:15" ht="12.75">
      <c r="A57" s="2" t="s">
        <v>100</v>
      </c>
      <c r="B57" s="77">
        <f>+segYTD!B60-segOct!B57</f>
        <v>0</v>
      </c>
      <c r="C57" s="49"/>
      <c r="D57" s="49">
        <f>+segYTD!D60-segOct!D57</f>
        <v>0</v>
      </c>
      <c r="E57" s="78">
        <f>+D57+B57</f>
        <v>0</v>
      </c>
      <c r="G57" s="77">
        <f>+segYTD!G60-segOct!G57</f>
        <v>0</v>
      </c>
      <c r="H57" s="49"/>
      <c r="I57" s="49">
        <f>+segYTD!I60-segOct!I57</f>
        <v>0</v>
      </c>
      <c r="J57" s="78">
        <f>+G57</f>
        <v>0</v>
      </c>
      <c r="L57" s="77">
        <f>+segYTD!L60-segOct!L57</f>
        <v>0</v>
      </c>
      <c r="M57" s="49"/>
      <c r="N57" s="49">
        <f>+segYTD!N60-segOct!N57</f>
        <v>0</v>
      </c>
      <c r="O57" s="78">
        <f t="shared" si="2"/>
        <v>0</v>
      </c>
    </row>
    <row r="58" spans="1:15" ht="12.75">
      <c r="A58" s="2" t="s">
        <v>188</v>
      </c>
      <c r="B58" s="77">
        <f>+segYTD!B61-segOct!B58</f>
        <v>1043.335</v>
      </c>
      <c r="C58" s="49"/>
      <c r="D58" s="49">
        <f>+segYTD!D61-segOct!D58</f>
        <v>0</v>
      </c>
      <c r="E58" s="78">
        <f>+B58+D58</f>
        <v>1043.335</v>
      </c>
      <c r="G58" s="77">
        <f>+segYTD!G61-segOct!G58</f>
        <v>-64.7370000000001</v>
      </c>
      <c r="H58" s="49"/>
      <c r="I58" s="49">
        <f>+segYTD!I61-segOct!I58</f>
        <v>0</v>
      </c>
      <c r="J58" s="78">
        <f>+G58</f>
        <v>-64.7370000000001</v>
      </c>
      <c r="L58" s="77">
        <f>+segYTD!L61-segOct!L58</f>
        <v>0</v>
      </c>
      <c r="M58" s="49"/>
      <c r="N58" s="49">
        <f>+segYTD!N61-segOct!N58</f>
        <v>0</v>
      </c>
      <c r="O58" s="78">
        <f t="shared" si="2"/>
        <v>0</v>
      </c>
    </row>
    <row r="59" spans="2:15" ht="12.75">
      <c r="B59" s="79">
        <f>SUM(B48:B58)</f>
        <v>1043.335</v>
      </c>
      <c r="C59" s="61"/>
      <c r="D59" s="66">
        <f>SUM(D48:D58)</f>
        <v>0</v>
      </c>
      <c r="E59" s="47">
        <f>SUM(E48:E58)</f>
        <v>1043.335</v>
      </c>
      <c r="G59" s="46">
        <f>SUM(G48:G58)</f>
        <v>1088.579</v>
      </c>
      <c r="H59" s="84"/>
      <c r="I59" s="64">
        <f>SUM(I48:I58)</f>
        <v>636.5802000000001</v>
      </c>
      <c r="J59" s="47">
        <f>SUM(J48:J58)</f>
        <v>1725.1592</v>
      </c>
      <c r="K59" s="67"/>
      <c r="L59" s="46">
        <f>SUM(L48:L58)</f>
        <v>92338.82468999998</v>
      </c>
      <c r="M59" s="84"/>
      <c r="N59" s="64">
        <f>SUM(N48:N58)</f>
        <v>-86181.09000000001</v>
      </c>
      <c r="O59" s="47">
        <f>SUM(O48:O58)</f>
        <v>6157.73468999999</v>
      </c>
    </row>
    <row r="60" spans="2:15" ht="12.75">
      <c r="B60" s="75"/>
      <c r="C60" s="61"/>
      <c r="D60" s="61"/>
      <c r="E60" s="76"/>
      <c r="G60" s="75"/>
      <c r="H60" s="61"/>
      <c r="I60" s="61"/>
      <c r="J60" s="82"/>
      <c r="L60" s="75"/>
      <c r="M60" s="61"/>
      <c r="N60" s="61"/>
      <c r="O60" s="76"/>
    </row>
    <row r="61" spans="1:15" ht="12.75">
      <c r="A61" s="2" t="s">
        <v>329</v>
      </c>
      <c r="B61" s="75"/>
      <c r="C61" s="61"/>
      <c r="D61" s="84"/>
      <c r="E61" s="82">
        <f>+E59+E44+E28</f>
        <v>215603.4877</v>
      </c>
      <c r="G61" s="75"/>
      <c r="H61" s="61"/>
      <c r="I61" s="61"/>
      <c r="J61" s="82">
        <f>+J59+J44+J28</f>
        <v>23288.347200000004</v>
      </c>
      <c r="L61" s="75"/>
      <c r="M61" s="61"/>
      <c r="N61" s="61"/>
      <c r="O61" s="82">
        <f>+O59+O44+O28</f>
        <v>170019.94668999995</v>
      </c>
    </row>
    <row r="62" spans="2:15" ht="12.75">
      <c r="B62" s="75"/>
      <c r="C62" s="61"/>
      <c r="D62" s="61"/>
      <c r="E62" s="82"/>
      <c r="G62" s="75"/>
      <c r="H62" s="61"/>
      <c r="I62" s="61"/>
      <c r="J62" s="82"/>
      <c r="L62" s="75"/>
      <c r="M62" s="61"/>
      <c r="N62" s="61"/>
      <c r="O62" s="82"/>
    </row>
    <row r="63" spans="1:15" ht="12.75">
      <c r="A63" s="2" t="s">
        <v>905</v>
      </c>
      <c r="B63" s="75"/>
      <c r="C63" s="61"/>
      <c r="D63" s="61"/>
      <c r="E63" s="78">
        <f>+segYTD!E67-segOct!E63</f>
        <v>0</v>
      </c>
      <c r="G63" s="75"/>
      <c r="H63" s="61" t="s">
        <v>910</v>
      </c>
      <c r="I63" s="49">
        <f>+segYTD!I67-segOct!I63</f>
        <v>1280.2894999999999</v>
      </c>
      <c r="J63" s="78">
        <f>+I63</f>
        <v>1280.2894999999999</v>
      </c>
      <c r="L63" s="75"/>
      <c r="M63" s="61"/>
      <c r="N63" s="49">
        <f>+segYTD!N67-segOct!N63</f>
        <v>9126.518699999999</v>
      </c>
      <c r="O63" s="78">
        <f>+N63</f>
        <v>9126.518699999999</v>
      </c>
    </row>
    <row r="64" spans="2:15" ht="12.75">
      <c r="B64" s="75"/>
      <c r="C64" s="61"/>
      <c r="D64" s="61"/>
      <c r="E64" s="76"/>
      <c r="G64" s="75"/>
      <c r="H64" s="61"/>
      <c r="I64" s="61"/>
      <c r="J64" s="76"/>
      <c r="L64" s="75"/>
      <c r="M64" s="61"/>
      <c r="N64" s="61"/>
      <c r="O64" s="76"/>
    </row>
    <row r="65" spans="2:15" ht="13.5" thickBot="1">
      <c r="B65" s="25"/>
      <c r="C65" s="26"/>
      <c r="D65" s="26"/>
      <c r="E65" s="83">
        <f>+E61+E63</f>
        <v>215603.4877</v>
      </c>
      <c r="G65" s="25"/>
      <c r="H65" s="26"/>
      <c r="I65" s="26"/>
      <c r="J65" s="83">
        <f>+J61+J63</f>
        <v>24568.636700000003</v>
      </c>
      <c r="L65" s="25"/>
      <c r="M65" s="26"/>
      <c r="N65" s="26"/>
      <c r="O65" s="317">
        <f>+O61+O63</f>
        <v>179146.46538999994</v>
      </c>
    </row>
    <row r="66" ht="13.5" thickTop="1"/>
    <row r="67" spans="1:15" ht="12.75">
      <c r="A67" s="2" t="s">
        <v>183</v>
      </c>
      <c r="E67" s="1">
        <f>+segOct!E65+'seg Apr'!E65</f>
        <v>215603.4877</v>
      </c>
      <c r="G67" s="1"/>
      <c r="J67" s="1">
        <f>+J65+segOct!J65</f>
        <v>24568.636700000003</v>
      </c>
      <c r="O67" s="1">
        <f>+O65+segOct!O65</f>
        <v>179146.46538999994</v>
      </c>
    </row>
    <row r="68" spans="3:15" ht="12.75">
      <c r="C68" s="69"/>
      <c r="E68" s="191">
        <f>+E67-segYTD!E71</f>
        <v>-122.67499999998836</v>
      </c>
      <c r="G68" s="49"/>
      <c r="J68" s="18">
        <f>+J67-segYTD!J71</f>
        <v>8.519000000043889</v>
      </c>
      <c r="O68" s="191">
        <f>+O67-segYTD!O71</f>
        <v>0</v>
      </c>
    </row>
    <row r="69" spans="1:15" ht="12.75">
      <c r="A69" s="174" t="s">
        <v>1354</v>
      </c>
      <c r="C69" s="69"/>
      <c r="D69" s="211">
        <f>+D44+D28</f>
        <v>-31265.1623</v>
      </c>
      <c r="E69" s="191"/>
      <c r="G69" s="49"/>
      <c r="J69" s="18"/>
      <c r="O69" s="67"/>
    </row>
    <row r="70" ht="12.75">
      <c r="G70" s="49"/>
    </row>
  </sheetData>
  <printOptions horizontalCentered="1" verticalCentered="1"/>
  <pageMargins left="0.55" right="0.46" top="0.24" bottom="0.26" header="0.24" footer="0.24"/>
  <pageSetup fitToHeight="1" fitToWidth="1" horizontalDpi="300" verticalDpi="300" orientation="landscape" paperSize="9" scale="69" r:id="rId1"/>
  <headerFooter alignWithMargins="0">
    <oddHeader>&amp;R&amp;D &amp;T</oddHeader>
  </headerFooter>
</worksheet>
</file>

<file path=xl/worksheets/sheet37.xml><?xml version="1.0" encoding="utf-8"?>
<worksheet xmlns="http://schemas.openxmlformats.org/spreadsheetml/2006/main" xmlns:r="http://schemas.openxmlformats.org/officeDocument/2006/relationships">
  <dimension ref="A1:J125"/>
  <sheetViews>
    <sheetView zoomScale="75" zoomScaleNormal="75" workbookViewId="0" topLeftCell="A3">
      <pane xSplit="2" ySplit="10" topLeftCell="C69" activePane="bottomRight" state="frozen"/>
      <selection pane="topLeft" activeCell="A3" sqref="A3"/>
      <selection pane="topRight" activeCell="C3" sqref="C3"/>
      <selection pane="bottomLeft" activeCell="A13" sqref="A13"/>
      <selection pane="bottomRight" activeCell="A69" sqref="A69"/>
    </sheetView>
  </sheetViews>
  <sheetFormatPr defaultColWidth="9.140625" defaultRowHeight="12.75"/>
  <cols>
    <col min="1" max="1" width="3.00390625" style="2" bestFit="1" customWidth="1"/>
    <col min="2" max="2" width="36.421875" style="2" customWidth="1"/>
    <col min="3" max="3" width="13.57421875" style="3" customWidth="1"/>
    <col min="4" max="4" width="3.7109375" style="2" customWidth="1"/>
    <col min="5" max="5" width="16.28125" style="3" customWidth="1"/>
    <col min="6" max="6" width="3.7109375" style="2" customWidth="1"/>
    <col min="7" max="7" width="11.28125" style="2" bestFit="1" customWidth="1"/>
    <col min="8" max="8" width="3.7109375" style="2" customWidth="1"/>
    <col min="9" max="9" width="16.57421875" style="2" customWidth="1"/>
    <col min="10" max="16384" width="8.8515625" style="2" customWidth="1"/>
  </cols>
  <sheetData>
    <row r="1" ht="15.75">
      <c r="B1" s="86" t="s">
        <v>1079</v>
      </c>
    </row>
    <row r="4" ht="12.75">
      <c r="B4" s="2" t="s">
        <v>1317</v>
      </c>
    </row>
    <row r="5" ht="12.75">
      <c r="B5" s="2" t="s">
        <v>738</v>
      </c>
    </row>
    <row r="7" spans="2:8" ht="12.75">
      <c r="B7" s="2" t="s">
        <v>739</v>
      </c>
      <c r="D7" s="9" t="s">
        <v>740</v>
      </c>
      <c r="H7" s="9" t="s">
        <v>741</v>
      </c>
    </row>
    <row r="8" spans="3:9" ht="12.75">
      <c r="C8" s="16" t="s">
        <v>742</v>
      </c>
      <c r="E8" s="16" t="s">
        <v>743</v>
      </c>
      <c r="G8" s="9" t="s">
        <v>742</v>
      </c>
      <c r="I8" s="9" t="s">
        <v>743</v>
      </c>
    </row>
    <row r="9" spans="3:9" ht="12.75">
      <c r="C9" s="16" t="s">
        <v>744</v>
      </c>
      <c r="E9" s="16" t="s">
        <v>759</v>
      </c>
      <c r="G9" s="9" t="s">
        <v>744</v>
      </c>
      <c r="I9" s="9" t="s">
        <v>759</v>
      </c>
    </row>
    <row r="10" spans="3:9" ht="12.75">
      <c r="C10" s="16" t="s">
        <v>760</v>
      </c>
      <c r="E10" s="16" t="s">
        <v>760</v>
      </c>
      <c r="G10" s="9" t="s">
        <v>761</v>
      </c>
      <c r="I10" s="9" t="s">
        <v>762</v>
      </c>
    </row>
    <row r="11" spans="3:10" ht="12.75">
      <c r="C11" s="17">
        <v>37468</v>
      </c>
      <c r="D11" s="10"/>
      <c r="E11" s="17">
        <v>37103</v>
      </c>
      <c r="F11" s="10"/>
      <c r="G11" s="11">
        <f>+C11</f>
        <v>37468</v>
      </c>
      <c r="H11" s="10"/>
      <c r="I11" s="11">
        <f>+E11</f>
        <v>37103</v>
      </c>
      <c r="J11" s="10"/>
    </row>
    <row r="12" spans="3:9" ht="12.75">
      <c r="C12" s="16" t="s">
        <v>521</v>
      </c>
      <c r="E12" s="16" t="s">
        <v>521</v>
      </c>
      <c r="G12" s="9" t="s">
        <v>521</v>
      </c>
      <c r="I12" s="9" t="s">
        <v>521</v>
      </c>
    </row>
    <row r="13" ht="12.75">
      <c r="G13" s="18"/>
    </row>
    <row r="14" spans="1:9" ht="12.75">
      <c r="A14" s="2">
        <v>1</v>
      </c>
      <c r="B14" s="12" t="s">
        <v>1146</v>
      </c>
      <c r="C14" s="18">
        <f>ROUND(+'P&amp;L'!AA9,0)</f>
        <v>48944</v>
      </c>
      <c r="E14" s="172">
        <v>22420</v>
      </c>
      <c r="G14" s="18">
        <f>ROUND(+'P&amp;L'!Y9,0)</f>
        <v>215726</v>
      </c>
      <c r="I14" s="172">
        <v>49681</v>
      </c>
    </row>
    <row r="15" spans="3:9" ht="12.75">
      <c r="C15" s="18"/>
      <c r="E15" s="18"/>
      <c r="G15" s="18"/>
      <c r="I15" s="18"/>
    </row>
    <row r="16" spans="2:9" ht="12.75">
      <c r="B16" s="12" t="s">
        <v>763</v>
      </c>
      <c r="C16" s="18"/>
      <c r="E16" s="172"/>
      <c r="G16" s="18"/>
      <c r="I16" s="172"/>
    </row>
    <row r="17" spans="2:9" ht="12.75">
      <c r="B17" s="12"/>
      <c r="C17" s="18"/>
      <c r="E17" s="18"/>
      <c r="G17" s="18"/>
      <c r="I17" s="18"/>
    </row>
    <row r="18" spans="2:9" ht="12.75">
      <c r="B18" s="2" t="s">
        <v>1148</v>
      </c>
      <c r="C18" s="18">
        <f>ROUND(+'P&amp;L'!AA25+'P&amp;L'!AA27+'P&amp;L'!AA31,0)</f>
        <v>375</v>
      </c>
      <c r="E18" s="172">
        <v>155</v>
      </c>
      <c r="G18" s="18">
        <f>ROUND(+'P&amp;L'!Y25+'P&amp;L'!Y27+'P&amp;L'!Y31,0)</f>
        <v>2580</v>
      </c>
      <c r="I18" s="172">
        <v>320</v>
      </c>
    </row>
    <row r="19" spans="3:9" ht="12.75">
      <c r="C19" s="18"/>
      <c r="E19" s="18"/>
      <c r="G19" s="18"/>
      <c r="I19" s="18"/>
    </row>
    <row r="20" spans="1:9" ht="51">
      <c r="A20" s="14">
        <v>2</v>
      </c>
      <c r="B20" s="13" t="s">
        <v>1164</v>
      </c>
      <c r="C20" s="18">
        <f>ROUND(+'P&amp;L'!AA46-'P&amp;L'!AA53+'P&amp;L'!AA72,0)</f>
        <v>4604</v>
      </c>
      <c r="E20" s="172">
        <v>3328</v>
      </c>
      <c r="G20" s="18">
        <f>ROUND(+'P&amp;L'!Y46-'P&amp;L'!Y53+'P&amp;L'!Y72,0)</f>
        <v>25932</v>
      </c>
      <c r="I20" s="172">
        <v>5373</v>
      </c>
    </row>
    <row r="21" spans="3:9" ht="12.75">
      <c r="C21" s="18"/>
      <c r="E21" s="18"/>
      <c r="G21" s="18"/>
      <c r="I21" s="18"/>
    </row>
    <row r="22" spans="2:9" ht="12.75">
      <c r="B22" s="2" t="s">
        <v>1147</v>
      </c>
      <c r="C22" s="18">
        <f>-ROUND(+'P&amp;L'!AA48+'P&amp;L'!AA49+'P&amp;L'!AA50,0)</f>
        <v>-252</v>
      </c>
      <c r="E22" s="172">
        <v>-868</v>
      </c>
      <c r="G22" s="18">
        <f>-ROUND(+'P&amp;L'!Y48+'P&amp;L'!Y49+'P&amp;L'!Y50,0)</f>
        <v>-1124</v>
      </c>
      <c r="I22" s="172">
        <v>-1672</v>
      </c>
    </row>
    <row r="23" spans="3:9" ht="12.75">
      <c r="C23" s="18"/>
      <c r="E23" s="18"/>
      <c r="G23" s="18"/>
      <c r="I23" s="18"/>
    </row>
    <row r="24" spans="2:9" ht="12.75">
      <c r="B24" s="2" t="s">
        <v>764</v>
      </c>
      <c r="C24" s="18">
        <f>-ROUND(+'P&amp;L'!AA58-'P&amp;L'!AA60,0)</f>
        <v>-350</v>
      </c>
      <c r="E24" s="172">
        <v>-1375</v>
      </c>
      <c r="G24" s="18">
        <f>-ROUND(+'P&amp;L'!Y58-'P&amp;L'!Y60,0)</f>
        <v>-1528</v>
      </c>
      <c r="I24" s="172">
        <v>-2701</v>
      </c>
    </row>
    <row r="25" spans="3:9" ht="12.75">
      <c r="C25" s="18"/>
      <c r="E25" s="18"/>
      <c r="G25" s="18"/>
      <c r="I25" s="18"/>
    </row>
    <row r="26" spans="2:9" ht="12.75">
      <c r="B26" s="2" t="s">
        <v>765</v>
      </c>
      <c r="C26" s="18"/>
      <c r="E26" s="172"/>
      <c r="G26" s="18"/>
      <c r="I26" s="172"/>
    </row>
    <row r="27" spans="3:9" ht="12.75">
      <c r="C27" s="18"/>
      <c r="E27" s="18"/>
      <c r="G27" s="18"/>
      <c r="I27" s="18"/>
    </row>
    <row r="28" spans="2:9" ht="51">
      <c r="B28" s="13" t="s">
        <v>1165</v>
      </c>
      <c r="C28" s="18">
        <f>+C20+C22+C24</f>
        <v>4002</v>
      </c>
      <c r="E28" s="18">
        <f>+E20+E22+E24</f>
        <v>1085</v>
      </c>
      <c r="G28" s="18">
        <f>+G20+G22+G24</f>
        <v>23280</v>
      </c>
      <c r="I28" s="18">
        <f>+I20+I22+I24</f>
        <v>1000</v>
      </c>
    </row>
    <row r="29" spans="3:9" ht="12.75">
      <c r="C29" s="18"/>
      <c r="E29" s="18"/>
      <c r="G29" s="18"/>
      <c r="I29" s="18"/>
    </row>
    <row r="30" spans="2:9" ht="25.5">
      <c r="B30" s="13" t="s">
        <v>1163</v>
      </c>
      <c r="C30" s="18">
        <f>ROUND('P&amp;L'!AA61,0)</f>
        <v>451</v>
      </c>
      <c r="E30" s="172">
        <v>146</v>
      </c>
      <c r="G30" s="18">
        <f>ROUND('P&amp;L'!Y61,0)</f>
        <v>1280</v>
      </c>
      <c r="I30" s="172">
        <v>353</v>
      </c>
    </row>
    <row r="31" spans="3:9" ht="12.75">
      <c r="C31" s="18"/>
      <c r="E31" s="18"/>
      <c r="G31" s="18"/>
      <c r="I31" s="18"/>
    </row>
    <row r="32" spans="2:9" ht="25.5">
      <c r="B32" s="13" t="s">
        <v>1166</v>
      </c>
      <c r="C32" s="18">
        <f>C28+C30</f>
        <v>4453</v>
      </c>
      <c r="E32" s="18">
        <f>E28+E30</f>
        <v>1231</v>
      </c>
      <c r="G32" s="18">
        <f>G28+G30</f>
        <v>24560</v>
      </c>
      <c r="I32" s="18">
        <f>I28+I30</f>
        <v>1353</v>
      </c>
    </row>
    <row r="33" spans="3:9" ht="12.75">
      <c r="C33" s="18"/>
      <c r="E33" s="18"/>
      <c r="G33" s="18"/>
      <c r="I33" s="18"/>
    </row>
    <row r="34" spans="2:9" ht="12.75">
      <c r="B34" s="2" t="s">
        <v>766</v>
      </c>
      <c r="C34" s="18">
        <f>ROUND('P&amp;L'!AA76,0)</f>
        <v>-739</v>
      </c>
      <c r="E34" s="172">
        <v>-882</v>
      </c>
      <c r="G34" s="18">
        <f>ROUND('P&amp;L'!Y76,0)</f>
        <v>-3369</v>
      </c>
      <c r="I34" s="172">
        <v>-999</v>
      </c>
    </row>
    <row r="35" spans="3:9" ht="12.75">
      <c r="C35" s="18"/>
      <c r="E35" s="18"/>
      <c r="G35" s="18"/>
      <c r="I35" s="18"/>
    </row>
    <row r="36" spans="2:9" ht="25.5">
      <c r="B36" s="13" t="s">
        <v>1155</v>
      </c>
      <c r="C36" s="18">
        <f>C32+C34</f>
        <v>3714</v>
      </c>
      <c r="E36" s="18">
        <f>E32+E34</f>
        <v>349</v>
      </c>
      <c r="G36" s="18">
        <f>G32+G34</f>
        <v>21191</v>
      </c>
      <c r="I36" s="18">
        <f>I32+I34</f>
        <v>354</v>
      </c>
    </row>
    <row r="37" spans="3:9" ht="12.75">
      <c r="C37" s="18"/>
      <c r="E37" s="18"/>
      <c r="G37" s="18"/>
      <c r="I37" s="18"/>
    </row>
    <row r="38" spans="2:9" ht="12.75">
      <c r="B38" s="2" t="s">
        <v>1156</v>
      </c>
      <c r="C38" s="18">
        <f>ROUND('P&amp;L'!AA81,0)</f>
        <v>-1727</v>
      </c>
      <c r="E38" s="172">
        <v>-838</v>
      </c>
      <c r="G38" s="18">
        <f>ROUND('P&amp;L'!Y81,0)</f>
        <v>-7967</v>
      </c>
      <c r="I38" s="172">
        <v>-1539</v>
      </c>
    </row>
    <row r="39" spans="3:9" ht="12.75">
      <c r="C39" s="18"/>
      <c r="E39" s="18"/>
      <c r="G39" s="18"/>
      <c r="I39" s="18"/>
    </row>
    <row r="40" spans="2:9" ht="12.75">
      <c r="B40" s="2" t="s">
        <v>1167</v>
      </c>
      <c r="C40" s="18"/>
      <c r="E40" s="18"/>
      <c r="G40" s="18"/>
      <c r="I40" s="18"/>
    </row>
    <row r="41" spans="3:9" ht="12.75">
      <c r="C41" s="18"/>
      <c r="E41" s="18"/>
      <c r="G41" s="18"/>
      <c r="I41" s="18"/>
    </row>
    <row r="42" spans="2:9" ht="25.5">
      <c r="B42" s="13" t="s">
        <v>1168</v>
      </c>
      <c r="C42" s="18">
        <f>+C36+C38</f>
        <v>1987</v>
      </c>
      <c r="E42" s="172">
        <f>+E36+E38</f>
        <v>-489</v>
      </c>
      <c r="G42" s="18">
        <f>+G36+G38</f>
        <v>13224</v>
      </c>
      <c r="I42" s="172">
        <f>+I36+I38</f>
        <v>-1185</v>
      </c>
    </row>
    <row r="43" spans="3:9" ht="12.75">
      <c r="C43" s="18"/>
      <c r="E43" s="18"/>
      <c r="G43" s="18"/>
      <c r="I43" s="18"/>
    </row>
    <row r="44" spans="2:9" ht="12.75">
      <c r="B44" s="2" t="s">
        <v>1169</v>
      </c>
      <c r="C44" s="18">
        <v>0</v>
      </c>
      <c r="E44" s="172"/>
      <c r="G44" s="18">
        <v>0</v>
      </c>
      <c r="I44" s="172"/>
    </row>
    <row r="45" spans="2:9" ht="12.75">
      <c r="B45" s="2" t="s">
        <v>767</v>
      </c>
      <c r="C45" s="18">
        <v>0</v>
      </c>
      <c r="E45" s="172"/>
      <c r="G45" s="18">
        <v>0</v>
      </c>
      <c r="I45" s="172"/>
    </row>
    <row r="46" spans="2:9" ht="25.5">
      <c r="B46" s="13" t="s">
        <v>768</v>
      </c>
      <c r="C46" s="18">
        <v>0</v>
      </c>
      <c r="E46" s="172"/>
      <c r="G46" s="18">
        <v>0</v>
      </c>
      <c r="I46" s="172"/>
    </row>
    <row r="47" spans="3:9" ht="12.75">
      <c r="C47" s="18"/>
      <c r="E47" s="18"/>
      <c r="G47" s="18"/>
      <c r="I47" s="18"/>
    </row>
    <row r="48" spans="2:9" ht="25.5">
      <c r="B48" s="13" t="s">
        <v>1174</v>
      </c>
      <c r="C48" s="18">
        <f>C42</f>
        <v>1987</v>
      </c>
      <c r="E48" s="172">
        <f>+E42</f>
        <v>-489</v>
      </c>
      <c r="G48" s="18">
        <f>G42</f>
        <v>13224</v>
      </c>
      <c r="I48" s="172">
        <f>+I42</f>
        <v>-1185</v>
      </c>
    </row>
    <row r="49" spans="7:9" ht="12.75">
      <c r="G49" s="18"/>
      <c r="I49" s="3"/>
    </row>
    <row r="50" spans="1:9" ht="38.25">
      <c r="A50" s="14">
        <v>3</v>
      </c>
      <c r="B50" s="13" t="s">
        <v>1175</v>
      </c>
      <c r="C50" s="44"/>
      <c r="E50" s="16"/>
      <c r="G50" s="18"/>
      <c r="I50" s="16"/>
    </row>
    <row r="51" spans="7:9" ht="12.75">
      <c r="G51" s="18"/>
      <c r="I51" s="3"/>
    </row>
    <row r="52" spans="2:9" ht="25.5">
      <c r="B52" s="13" t="s">
        <v>1242</v>
      </c>
      <c r="C52" s="18">
        <f>C42/+C102*100</f>
        <v>3.7415734568598653</v>
      </c>
      <c r="D52" s="6"/>
      <c r="E52" s="162">
        <v>-0.98</v>
      </c>
      <c r="F52" s="6"/>
      <c r="G52" s="18">
        <f>G42/+C102*100</f>
        <v>24.901141113998417</v>
      </c>
      <c r="I52" s="162">
        <v>-2.37</v>
      </c>
    </row>
    <row r="53" spans="3:9" ht="12.75">
      <c r="C53" s="18"/>
      <c r="D53" s="6"/>
      <c r="E53" s="6"/>
      <c r="F53" s="6"/>
      <c r="G53" s="18"/>
      <c r="I53" s="5"/>
    </row>
    <row r="54" spans="2:9" ht="25.5">
      <c r="B54" s="13" t="s">
        <v>1179</v>
      </c>
      <c r="C54" s="18">
        <v>0</v>
      </c>
      <c r="D54" s="6"/>
      <c r="E54" s="162">
        <v>0</v>
      </c>
      <c r="F54" s="6"/>
      <c r="G54" s="18">
        <v>0</v>
      </c>
      <c r="I54" s="162">
        <v>0</v>
      </c>
    </row>
    <row r="55" spans="3:9" ht="12.75">
      <c r="C55" s="6"/>
      <c r="D55" s="6"/>
      <c r="E55" s="6"/>
      <c r="F55" s="6"/>
      <c r="G55" s="6"/>
      <c r="I55" s="6"/>
    </row>
    <row r="58" ht="12.75">
      <c r="B58" s="2" t="s">
        <v>769</v>
      </c>
    </row>
    <row r="59" spans="3:5" ht="12.75">
      <c r="C59" s="16" t="s">
        <v>770</v>
      </c>
      <c r="D59" s="9"/>
      <c r="E59" s="16" t="s">
        <v>771</v>
      </c>
    </row>
    <row r="60" spans="3:5" ht="12.75">
      <c r="C60" s="16" t="s">
        <v>772</v>
      </c>
      <c r="D60" s="9"/>
      <c r="E60" s="16" t="s">
        <v>773</v>
      </c>
    </row>
    <row r="61" spans="3:5" ht="12.75">
      <c r="C61" s="16" t="s">
        <v>760</v>
      </c>
      <c r="D61" s="9"/>
      <c r="E61" s="16" t="s">
        <v>774</v>
      </c>
    </row>
    <row r="62" spans="3:5" ht="12.75">
      <c r="C62" s="16" t="s">
        <v>521</v>
      </c>
      <c r="D62" s="9"/>
      <c r="E62" s="16" t="s">
        <v>521</v>
      </c>
    </row>
    <row r="63" spans="3:5" ht="12.75">
      <c r="C63" s="17">
        <f>+C11</f>
        <v>37468</v>
      </c>
      <c r="D63" s="11"/>
      <c r="E63" s="17">
        <v>37287</v>
      </c>
    </row>
    <row r="65" spans="1:5" ht="12.75">
      <c r="A65" s="2">
        <v>1</v>
      </c>
      <c r="B65" s="2" t="s">
        <v>561</v>
      </c>
      <c r="C65" s="18">
        <f>ROUND(+'B. Sheet'!Z9,0)</f>
        <v>53760</v>
      </c>
      <c r="D65" s="18"/>
      <c r="E65" s="18">
        <v>37820</v>
      </c>
    </row>
    <row r="66" spans="3:5" ht="12.75">
      <c r="C66" s="18"/>
      <c r="D66" s="18"/>
      <c r="E66" s="18"/>
    </row>
    <row r="67" spans="1:5" ht="12.75">
      <c r="A67" s="2">
        <v>2</v>
      </c>
      <c r="B67" s="2" t="s">
        <v>1157</v>
      </c>
      <c r="C67" s="18">
        <f>ROUND(+'B. Sheet'!Z13,0)</f>
        <v>2009</v>
      </c>
      <c r="D67" s="18"/>
      <c r="E67" s="18">
        <v>1785</v>
      </c>
    </row>
    <row r="68" spans="3:5" ht="12.75">
      <c r="C68" s="18"/>
      <c r="D68" s="18"/>
      <c r="E68" s="18"/>
    </row>
    <row r="69" spans="1:5" ht="12.75">
      <c r="A69" s="2">
        <v>3</v>
      </c>
      <c r="B69" s="2" t="s">
        <v>780</v>
      </c>
      <c r="C69" s="18">
        <f>ROUND(+'B. Sheet'!Z20,0)</f>
        <v>10581</v>
      </c>
      <c r="D69" s="18"/>
      <c r="E69" s="18">
        <v>5692</v>
      </c>
    </row>
    <row r="70" spans="3:5" ht="12.75">
      <c r="C70" s="18"/>
      <c r="D70" s="18"/>
      <c r="E70" s="18"/>
    </row>
    <row r="71" spans="1:5" ht="12.75">
      <c r="A71" s="2">
        <v>4</v>
      </c>
      <c r="B71" s="2" t="s">
        <v>781</v>
      </c>
      <c r="C71" s="18">
        <f>ROUND(+'B. Sheet'!Z11,0)</f>
        <v>2845</v>
      </c>
      <c r="D71" s="18"/>
      <c r="E71" s="18">
        <v>6370</v>
      </c>
    </row>
    <row r="72" spans="3:5" ht="12.75">
      <c r="C72" s="18"/>
      <c r="D72" s="18"/>
      <c r="E72" s="18"/>
    </row>
    <row r="73" spans="1:5" ht="12.75">
      <c r="A73" s="2">
        <v>5</v>
      </c>
      <c r="B73" s="2" t="s">
        <v>1158</v>
      </c>
      <c r="C73" s="18">
        <f>ROUND(+'B. Sheet'!Z26,0)</f>
        <v>0</v>
      </c>
      <c r="D73" s="18"/>
      <c r="E73" s="18">
        <v>0</v>
      </c>
    </row>
    <row r="74" spans="3:5" ht="12.75">
      <c r="C74" s="18"/>
      <c r="D74" s="18"/>
      <c r="E74" s="18"/>
    </row>
    <row r="75" spans="1:5" ht="12.75">
      <c r="A75" s="2">
        <v>6</v>
      </c>
      <c r="B75" s="2" t="s">
        <v>782</v>
      </c>
      <c r="C75" s="18">
        <v>0</v>
      </c>
      <c r="D75" s="18"/>
      <c r="E75" s="18">
        <v>0</v>
      </c>
    </row>
    <row r="76" spans="3:5" ht="12.75">
      <c r="C76" s="18"/>
      <c r="D76" s="18"/>
      <c r="E76" s="18"/>
    </row>
    <row r="77" spans="1:5" ht="12.75">
      <c r="A77" s="2">
        <v>7</v>
      </c>
      <c r="B77" s="2" t="s">
        <v>1159</v>
      </c>
      <c r="C77" s="18">
        <f>ROUND(+'B. Sheet'!Z24,0)</f>
        <v>0</v>
      </c>
      <c r="D77" s="18"/>
      <c r="E77" s="18">
        <v>0</v>
      </c>
    </row>
    <row r="78" spans="3:5" ht="12.75">
      <c r="C78" s="18"/>
      <c r="D78" s="18"/>
      <c r="E78" s="18"/>
    </row>
    <row r="79" spans="1:5" ht="12.75">
      <c r="A79" s="2">
        <v>8</v>
      </c>
      <c r="B79" s="2" t="s">
        <v>570</v>
      </c>
      <c r="C79" s="18"/>
      <c r="D79" s="18"/>
      <c r="E79" s="18"/>
    </row>
    <row r="80" spans="2:5" ht="12.75">
      <c r="B80" s="15" t="s">
        <v>1160</v>
      </c>
      <c r="C80" s="18">
        <f>ROUND(+'B. Sheet'!Z29,0)</f>
        <v>26861</v>
      </c>
      <c r="D80" s="18"/>
      <c r="E80" s="18">
        <f>43596-E67</f>
        <v>41811</v>
      </c>
    </row>
    <row r="81" spans="2:5" ht="12.75">
      <c r="B81" s="15" t="s">
        <v>784</v>
      </c>
      <c r="C81" s="18">
        <f>ROUND(+'B. Sheet'!Z30,0)</f>
        <v>30879</v>
      </c>
      <c r="D81" s="18"/>
      <c r="E81" s="18">
        <v>34014</v>
      </c>
    </row>
    <row r="82" spans="2:5" ht="12.75">
      <c r="B82" s="15" t="s">
        <v>785</v>
      </c>
      <c r="C82" s="18"/>
      <c r="D82" s="18"/>
      <c r="E82" s="18"/>
    </row>
    <row r="83" spans="2:5" ht="12.75">
      <c r="B83" s="15" t="s">
        <v>786</v>
      </c>
      <c r="C83" s="18">
        <f>ROUND(+'B. Sheet'!Z40+'B. Sheet'!Z39,0)</f>
        <v>46049</v>
      </c>
      <c r="D83" s="18"/>
      <c r="E83" s="18">
        <v>15562</v>
      </c>
    </row>
    <row r="84" spans="2:5" ht="12.75">
      <c r="B84" s="15" t="s">
        <v>787</v>
      </c>
      <c r="C84" s="18">
        <f>ROUND(+'B. Sheet'!Z31+'B. Sheet'!Z32+'B. Sheet'!Z36,0)</f>
        <v>4734</v>
      </c>
      <c r="D84" s="18"/>
      <c r="E84" s="18">
        <f>648+1508</f>
        <v>2156</v>
      </c>
    </row>
    <row r="85" spans="2:5" ht="12.75">
      <c r="B85" s="15" t="s">
        <v>1221</v>
      </c>
      <c r="C85" s="18">
        <f>ROUND(+'B. Sheet'!Z33,0)</f>
        <v>1426</v>
      </c>
      <c r="D85" s="18"/>
      <c r="E85" s="18">
        <v>2986</v>
      </c>
    </row>
    <row r="86" spans="2:5" ht="12.75">
      <c r="B86" s="15"/>
      <c r="C86" s="66">
        <f>SUM(C80:C85)</f>
        <v>109949</v>
      </c>
      <c r="D86" s="18"/>
      <c r="E86" s="66">
        <f>SUM(E80:E85)</f>
        <v>96529</v>
      </c>
    </row>
    <row r="87" spans="3:5" ht="12.75">
      <c r="C87" s="18"/>
      <c r="D87" s="18"/>
      <c r="E87" s="18"/>
    </row>
    <row r="88" spans="1:5" ht="12.75">
      <c r="A88" s="2">
        <v>9</v>
      </c>
      <c r="B88" s="2" t="s">
        <v>602</v>
      </c>
      <c r="C88" s="18"/>
      <c r="D88" s="18"/>
      <c r="E88" s="18"/>
    </row>
    <row r="89" spans="2:5" ht="12.75">
      <c r="B89" s="15" t="s">
        <v>788</v>
      </c>
      <c r="C89" s="18">
        <f>ROUND(+'B. Sheet'!W54+'B. Sheet'!W55,0)</f>
        <v>3140</v>
      </c>
      <c r="D89" s="18"/>
      <c r="E89" s="18">
        <v>29177</v>
      </c>
    </row>
    <row r="90" spans="2:5" ht="12.75">
      <c r="B90" s="15" t="s">
        <v>509</v>
      </c>
      <c r="C90" s="18">
        <f>ROUND(+'B. Sheet'!Z46,0)</f>
        <v>11611</v>
      </c>
      <c r="D90" s="18"/>
      <c r="E90" s="18">
        <f>7579+1</f>
        <v>7580</v>
      </c>
    </row>
    <row r="91" spans="2:5" ht="12.75">
      <c r="B91" s="15" t="s">
        <v>812</v>
      </c>
      <c r="C91" s="18">
        <f>ROUND(+'B. Sheet'!Z47+'B. Sheet'!Z49+'B. Sheet'!Z58,0)</f>
        <v>9694</v>
      </c>
      <c r="D91" s="18"/>
      <c r="E91" s="18">
        <f>1353+2360+1318</f>
        <v>5031</v>
      </c>
    </row>
    <row r="92" spans="2:5" ht="12.75">
      <c r="B92" s="15" t="s">
        <v>813</v>
      </c>
      <c r="C92" s="18">
        <f>ROUND(+'B. Sheet'!Z57,0)</f>
        <v>62</v>
      </c>
      <c r="D92" s="18"/>
      <c r="E92" s="18">
        <v>2</v>
      </c>
    </row>
    <row r="93" spans="2:5" ht="12.75">
      <c r="B93" s="15"/>
      <c r="C93" s="18"/>
      <c r="D93" s="18"/>
      <c r="E93" s="18"/>
    </row>
    <row r="94" spans="2:5" ht="12.75">
      <c r="B94" s="15"/>
      <c r="C94" s="66">
        <f>SUM(C89:C93)</f>
        <v>24507</v>
      </c>
      <c r="D94" s="18"/>
      <c r="E94" s="66">
        <f>SUM(E89:E93)</f>
        <v>41790</v>
      </c>
    </row>
    <row r="95" spans="3:5" ht="12.75">
      <c r="C95" s="18"/>
      <c r="D95" s="18"/>
      <c r="E95" s="18"/>
    </row>
    <row r="96" spans="1:5" ht="12.75">
      <c r="A96" s="2">
        <v>10</v>
      </c>
      <c r="B96" s="2" t="s">
        <v>814</v>
      </c>
      <c r="C96" s="18">
        <f>C86-C94</f>
        <v>85442</v>
      </c>
      <c r="D96" s="18"/>
      <c r="E96" s="18">
        <f>E86-E94</f>
        <v>54739</v>
      </c>
    </row>
    <row r="97" spans="3:5" ht="12.75">
      <c r="C97" s="18"/>
      <c r="D97" s="18"/>
      <c r="E97" s="18"/>
    </row>
    <row r="98" spans="2:5" ht="13.5" thickBot="1">
      <c r="B98" s="22"/>
      <c r="C98" s="90">
        <f>SUM(C65:C77)+C96</f>
        <v>154637</v>
      </c>
      <c r="D98" s="18"/>
      <c r="E98" s="90">
        <f>SUM(E65:E77)+E96</f>
        <v>106406</v>
      </c>
    </row>
    <row r="99" spans="3:5" ht="13.5" thickTop="1">
      <c r="C99" s="18"/>
      <c r="D99" s="18"/>
      <c r="E99" s="18"/>
    </row>
    <row r="100" spans="1:5" ht="12.75">
      <c r="A100" s="2">
        <v>11</v>
      </c>
      <c r="B100" s="2" t="s">
        <v>815</v>
      </c>
      <c r="C100" s="18"/>
      <c r="D100" s="18"/>
      <c r="E100" s="18"/>
    </row>
    <row r="101" spans="3:5" ht="12.75">
      <c r="C101" s="18"/>
      <c r="D101" s="18"/>
      <c r="E101" s="18"/>
    </row>
    <row r="102" spans="2:5" ht="12.75">
      <c r="B102" s="2" t="s">
        <v>312</v>
      </c>
      <c r="C102" s="18">
        <f>ROUND(+'B. Sheet'!Z69,0)</f>
        <v>53106</v>
      </c>
      <c r="D102" s="18"/>
      <c r="E102" s="18">
        <v>50100</v>
      </c>
    </row>
    <row r="103" spans="3:5" ht="12.75">
      <c r="C103" s="18"/>
      <c r="D103" s="18"/>
      <c r="E103" s="18"/>
    </row>
    <row r="104" spans="2:5" ht="12.75">
      <c r="B104" s="2" t="s">
        <v>342</v>
      </c>
      <c r="C104" s="18"/>
      <c r="D104" s="18"/>
      <c r="E104" s="18"/>
    </row>
    <row r="105" spans="2:5" ht="12.75">
      <c r="B105" s="15" t="s">
        <v>816</v>
      </c>
      <c r="C105" s="18">
        <f>ROUND(+'B. Sheet'!Z74,0)</f>
        <v>3715</v>
      </c>
      <c r="D105" s="18"/>
      <c r="E105" s="18">
        <v>3704</v>
      </c>
    </row>
    <row r="106" spans="2:5" ht="12.75">
      <c r="B106" s="15" t="s">
        <v>817</v>
      </c>
      <c r="C106" s="18">
        <f>ROUND(+'B. Sheet'!Z76,0)</f>
        <v>377</v>
      </c>
      <c r="D106" s="18"/>
      <c r="E106" s="18">
        <v>586</v>
      </c>
    </row>
    <row r="107" spans="2:5" ht="12.75">
      <c r="B107" s="15" t="s">
        <v>818</v>
      </c>
      <c r="C107" s="18">
        <f>ROUND(+'B. Sheet'!Z77,0)</f>
        <v>1092</v>
      </c>
      <c r="D107" s="18"/>
      <c r="E107" s="18">
        <f>128</f>
        <v>128</v>
      </c>
    </row>
    <row r="108" spans="2:5" ht="12.75">
      <c r="B108" s="15" t="s">
        <v>819</v>
      </c>
      <c r="C108" s="18">
        <f>ROUND(+'B. Sheet'!Z71+'B. Sheet'!Z72,0)</f>
        <v>24287</v>
      </c>
      <c r="D108" s="18"/>
      <c r="E108" s="18">
        <v>2499</v>
      </c>
    </row>
    <row r="109" spans="2:5" ht="12.75">
      <c r="B109" s="15" t="s">
        <v>820</v>
      </c>
      <c r="C109" s="18">
        <f>+'B. Sheet'!Z78</f>
        <v>2084.46</v>
      </c>
      <c r="D109" s="18"/>
      <c r="E109" s="18">
        <v>481</v>
      </c>
    </row>
    <row r="110" spans="2:5" ht="12.75">
      <c r="B110" s="15"/>
      <c r="C110" s="66">
        <f>SUM(C105:C109)</f>
        <v>31555.46</v>
      </c>
      <c r="D110" s="18"/>
      <c r="E110" s="66">
        <f>SUM(E105:E109)</f>
        <v>7398</v>
      </c>
    </row>
    <row r="111" spans="3:5" ht="12.75">
      <c r="C111" s="18"/>
      <c r="D111" s="18"/>
      <c r="E111" s="18"/>
    </row>
    <row r="112" spans="1:5" ht="12.75">
      <c r="A112" s="2">
        <v>12</v>
      </c>
      <c r="B112" s="2" t="s">
        <v>821</v>
      </c>
      <c r="C112" s="18">
        <f>ROUND(+'B. Sheet'!Z84,0)</f>
        <v>61764</v>
      </c>
      <c r="D112" s="18"/>
      <c r="E112" s="18">
        <v>28456</v>
      </c>
    </row>
    <row r="113" spans="3:5" ht="12.75">
      <c r="C113" s="18"/>
      <c r="D113" s="18"/>
      <c r="E113" s="18"/>
    </row>
    <row r="114" spans="1:5" ht="12.75">
      <c r="A114" s="2">
        <v>13</v>
      </c>
      <c r="B114" s="2" t="s">
        <v>822</v>
      </c>
      <c r="C114" s="18">
        <f>ROUND(+'B. Sheet'!Z88,0)</f>
        <v>7342</v>
      </c>
      <c r="D114" s="18"/>
      <c r="E114" s="18">
        <v>19703</v>
      </c>
    </row>
    <row r="115" spans="3:5" ht="12.75">
      <c r="C115" s="18"/>
      <c r="D115" s="18"/>
      <c r="E115" s="18"/>
    </row>
    <row r="116" spans="1:5" ht="12.75">
      <c r="A116" s="2">
        <v>14</v>
      </c>
      <c r="B116" s="2" t="s">
        <v>823</v>
      </c>
      <c r="C116" s="18">
        <f>ROUND(+'B. Sheet'!Z89,0)</f>
        <v>0</v>
      </c>
      <c r="D116" s="18"/>
      <c r="E116" s="18">
        <v>0</v>
      </c>
    </row>
    <row r="117" spans="3:5" ht="12.75">
      <c r="C117" s="18"/>
      <c r="D117" s="18"/>
      <c r="E117" s="18"/>
    </row>
    <row r="118" spans="1:5" ht="12.75">
      <c r="A118" s="2">
        <v>15</v>
      </c>
      <c r="B118" s="2" t="s">
        <v>1161</v>
      </c>
      <c r="C118" s="18">
        <f>ROUND(+'B. Sheet'!Z90,0)</f>
        <v>1383</v>
      </c>
      <c r="D118" s="18"/>
      <c r="E118" s="18">
        <v>749</v>
      </c>
    </row>
    <row r="119" spans="3:5" ht="12.75">
      <c r="C119" s="18"/>
      <c r="D119" s="18"/>
      <c r="E119" s="18"/>
    </row>
    <row r="120" spans="3:5" ht="12.75">
      <c r="C120" s="66">
        <f>SUM(C102:C119)-C110</f>
        <v>155150.46000000002</v>
      </c>
      <c r="D120" s="18"/>
      <c r="E120" s="66">
        <f>SUM(E102:E119)-E110</f>
        <v>106406</v>
      </c>
    </row>
    <row r="122" spans="1:5" ht="12.75">
      <c r="A122" s="2">
        <v>16</v>
      </c>
      <c r="B122" s="2" t="s">
        <v>1162</v>
      </c>
      <c r="C122" s="178">
        <f>(C98-C112-C114-C116-C118)/C102</f>
        <v>1.5845290550973525</v>
      </c>
      <c r="E122" s="178">
        <f>(E98-E112-E114-E116-E118)/E102</f>
        <v>1.1476646706586826</v>
      </c>
    </row>
    <row r="125" spans="3:5" ht="12.75">
      <c r="C125" s="3">
        <f>+C98-C120</f>
        <v>-513.460000000021</v>
      </c>
      <c r="E125" s="3">
        <f>+E98-E120</f>
        <v>0</v>
      </c>
    </row>
  </sheetData>
  <printOptions/>
  <pageMargins left="0.59" right="0.48" top="0.25" bottom="0.19" header="0.27" footer="0.19"/>
  <pageSetup horizontalDpi="300" verticalDpi="300" orientation="portrait" scale="85" r:id="rId1"/>
  <headerFooter alignWithMargins="0">
    <oddHeader>&amp;R&amp;D  &amp;T</oddHeader>
  </headerFooter>
  <rowBreaks count="1" manualBreakCount="1">
    <brk id="55" max="255" man="1"/>
  </rowBreaks>
</worksheet>
</file>

<file path=xl/worksheets/sheet38.xml><?xml version="1.0" encoding="utf-8"?>
<worksheet xmlns="http://schemas.openxmlformats.org/spreadsheetml/2006/main" xmlns:r="http://schemas.openxmlformats.org/officeDocument/2006/relationships">
  <dimension ref="A1:G62"/>
  <sheetViews>
    <sheetView view="pageBreakPreview" zoomScale="60" zoomScaleNormal="60" workbookViewId="0" topLeftCell="A1">
      <selection activeCell="G20" sqref="G20"/>
    </sheetView>
  </sheetViews>
  <sheetFormatPr defaultColWidth="9.140625" defaultRowHeight="12.75"/>
  <cols>
    <col min="1" max="1" width="12.140625" style="2" customWidth="1"/>
    <col min="2" max="2" width="8.8515625" style="2" customWidth="1"/>
    <col min="3" max="3" width="12.28125" style="2" bestFit="1" customWidth="1"/>
    <col min="4" max="4" width="22.7109375" style="18" customWidth="1"/>
    <col min="5" max="5" width="2.7109375" style="2" customWidth="1"/>
    <col min="6" max="6" width="13.7109375" style="2" customWidth="1"/>
    <col min="7" max="7" width="15.57421875" style="2" customWidth="1"/>
    <col min="8" max="16384" width="8.8515625" style="2" customWidth="1"/>
  </cols>
  <sheetData>
    <row r="1" ht="15.75">
      <c r="A1" s="86" t="s">
        <v>1258</v>
      </c>
    </row>
    <row r="3" ht="12.75">
      <c r="A3" s="60" t="s">
        <v>1257</v>
      </c>
    </row>
    <row r="5" spans="1:4" ht="12.75">
      <c r="A5" s="2" t="s">
        <v>993</v>
      </c>
      <c r="B5" s="2" t="s">
        <v>1259</v>
      </c>
      <c r="D5" s="18">
        <v>1160000</v>
      </c>
    </row>
    <row r="6" spans="2:4" ht="12.75">
      <c r="B6" s="2" t="s">
        <v>1260</v>
      </c>
      <c r="D6" s="18">
        <v>3827256.57</v>
      </c>
    </row>
    <row r="7" ht="12.75">
      <c r="D7" s="66">
        <f>SUM(D5:D6)</f>
        <v>4987256.57</v>
      </c>
    </row>
    <row r="9" spans="1:4" ht="12.75">
      <c r="A9" s="2" t="s">
        <v>1261</v>
      </c>
      <c r="B9" s="2" t="s">
        <v>1260</v>
      </c>
      <c r="C9" s="2" t="s">
        <v>1435</v>
      </c>
      <c r="D9" s="18">
        <v>803384.98</v>
      </c>
    </row>
    <row r="11" spans="1:4" ht="13.5" thickBot="1">
      <c r="A11" s="2" t="s">
        <v>995</v>
      </c>
      <c r="D11" s="90">
        <f>+D7-D9</f>
        <v>4183871.5900000003</v>
      </c>
    </row>
    <row r="12" ht="13.5" thickTop="1"/>
    <row r="13" spans="1:4" ht="12.75">
      <c r="A13" s="2" t="s">
        <v>1262</v>
      </c>
      <c r="D13" s="279">
        <v>0</v>
      </c>
    </row>
    <row r="15" spans="1:4" ht="12.75">
      <c r="A15" s="2" t="s">
        <v>1263</v>
      </c>
      <c r="D15" s="66">
        <f>+D11-D13</f>
        <v>4183871.5900000003</v>
      </c>
    </row>
    <row r="17" spans="1:4" ht="12.75">
      <c r="A17" s="2" t="s">
        <v>1264</v>
      </c>
      <c r="D17" s="18">
        <v>5630000</v>
      </c>
    </row>
    <row r="19" spans="1:5" ht="12.75">
      <c r="A19" s="2" t="s">
        <v>1265</v>
      </c>
      <c r="D19" s="66">
        <f>+D17-D15</f>
        <v>1446128.4099999997</v>
      </c>
      <c r="E19" s="2" t="s">
        <v>946</v>
      </c>
    </row>
    <row r="21" spans="1:4" ht="12.75">
      <c r="A21" s="2" t="s">
        <v>1266</v>
      </c>
      <c r="D21" s="66">
        <v>107801.68</v>
      </c>
    </row>
    <row r="24" spans="1:7" ht="12.75">
      <c r="A24" s="1136" t="s">
        <v>1325</v>
      </c>
      <c r="B24" s="1136"/>
      <c r="C24" s="1136"/>
      <c r="D24" s="1136"/>
      <c r="E24" s="1136"/>
      <c r="F24" s="1136"/>
      <c r="G24" s="1136"/>
    </row>
    <row r="27" ht="15.75">
      <c r="A27" s="86" t="s">
        <v>1267</v>
      </c>
    </row>
    <row r="29" ht="12.75">
      <c r="A29" s="60" t="s">
        <v>1268</v>
      </c>
    </row>
    <row r="31" spans="1:4" ht="12.75">
      <c r="A31" s="2" t="s">
        <v>993</v>
      </c>
      <c r="B31" s="2" t="s">
        <v>1259</v>
      </c>
      <c r="D31" s="18">
        <v>1160000.04</v>
      </c>
    </row>
    <row r="32" spans="2:4" ht="12.75">
      <c r="B32" s="2" t="s">
        <v>1260</v>
      </c>
      <c r="D32" s="18">
        <v>1946386.98</v>
      </c>
    </row>
    <row r="33" ht="12.75">
      <c r="D33" s="66">
        <f>SUM(D31:D32)</f>
        <v>3106387.02</v>
      </c>
    </row>
    <row r="35" spans="1:4" ht="12.75">
      <c r="A35" s="2" t="s">
        <v>1261</v>
      </c>
      <c r="B35" s="2" t="s">
        <v>1260</v>
      </c>
      <c r="D35" s="18">
        <v>394776.71</v>
      </c>
    </row>
    <row r="37" spans="1:4" ht="13.5" thickBot="1">
      <c r="A37" s="2" t="s">
        <v>995</v>
      </c>
      <c r="D37" s="90">
        <f>+D33-D35</f>
        <v>2711610.31</v>
      </c>
    </row>
    <row r="38" ht="13.5" thickTop="1"/>
    <row r="39" spans="1:4" ht="12.75">
      <c r="A39" s="2" t="s">
        <v>1262</v>
      </c>
      <c r="D39" s="279">
        <v>0</v>
      </c>
    </row>
    <row r="41" spans="1:4" ht="12.75">
      <c r="A41" s="2" t="s">
        <v>1263</v>
      </c>
      <c r="D41" s="66">
        <f>+D37-D39</f>
        <v>2711610.31</v>
      </c>
    </row>
    <row r="43" spans="1:7" ht="12.75">
      <c r="A43" s="2" t="s">
        <v>1264</v>
      </c>
      <c r="D43" s="18">
        <v>4310000</v>
      </c>
      <c r="F43" s="9" t="s">
        <v>369</v>
      </c>
      <c r="G43" s="9" t="s">
        <v>972</v>
      </c>
    </row>
    <row r="44" spans="6:7" ht="12.75">
      <c r="F44" s="186">
        <v>0.16</v>
      </c>
      <c r="G44" s="186">
        <v>0.84</v>
      </c>
    </row>
    <row r="45" spans="1:7" ht="12.75">
      <c r="A45" s="2" t="s">
        <v>1265</v>
      </c>
      <c r="D45" s="66">
        <f>+D43-D41</f>
        <v>1598389.69</v>
      </c>
      <c r="E45" s="2" t="s">
        <v>946</v>
      </c>
      <c r="F45" s="18">
        <f>ROUND(D45*F44,2)</f>
        <v>255742.35</v>
      </c>
      <c r="G45" s="18">
        <f>+D45-F45</f>
        <v>1342647.3399999999</v>
      </c>
    </row>
    <row r="47" spans="1:4" ht="12.75">
      <c r="A47" s="2" t="s">
        <v>1266</v>
      </c>
      <c r="D47" s="66">
        <f>79500+35000</f>
        <v>114500</v>
      </c>
    </row>
    <row r="50" spans="1:5" ht="12.75">
      <c r="A50" s="2" t="s">
        <v>946</v>
      </c>
      <c r="D50" s="18">
        <f>+D45+D19</f>
        <v>3044518.0999999996</v>
      </c>
      <c r="E50" s="2" t="s">
        <v>947</v>
      </c>
    </row>
    <row r="54" spans="1:7" ht="12.75">
      <c r="A54" s="23"/>
      <c r="B54" s="24"/>
      <c r="C54" s="24"/>
      <c r="D54" s="182"/>
      <c r="E54" s="24"/>
      <c r="F54" s="24"/>
      <c r="G54" s="262"/>
    </row>
    <row r="55" spans="1:7" ht="12.75">
      <c r="A55" s="963" t="s">
        <v>651</v>
      </c>
      <c r="B55" s="61"/>
      <c r="C55" s="61"/>
      <c r="D55" s="63"/>
      <c r="E55" s="61"/>
      <c r="F55" s="61"/>
      <c r="G55" s="76"/>
    </row>
    <row r="56" spans="1:7" ht="12.75">
      <c r="A56" s="963"/>
      <c r="B56" s="61"/>
      <c r="C56" s="61"/>
      <c r="D56" s="63"/>
      <c r="E56" s="61"/>
      <c r="F56" s="165" t="s">
        <v>365</v>
      </c>
      <c r="G56" s="41" t="s">
        <v>366</v>
      </c>
    </row>
    <row r="57" spans="1:7" ht="12.75">
      <c r="A57" s="963" t="s">
        <v>1301</v>
      </c>
      <c r="B57" s="61"/>
      <c r="C57" s="61"/>
      <c r="D57" s="63"/>
      <c r="E57" s="61"/>
      <c r="F57" s="165" t="s">
        <v>317</v>
      </c>
      <c r="G57" s="41" t="s">
        <v>317</v>
      </c>
    </row>
    <row r="58" spans="1:7" ht="12.75">
      <c r="A58" s="75" t="s">
        <v>652</v>
      </c>
      <c r="B58" s="61"/>
      <c r="C58" s="61"/>
      <c r="D58" s="63"/>
      <c r="E58" s="61"/>
      <c r="F58" s="89">
        <f>+D50</f>
        <v>3044518.0999999996</v>
      </c>
      <c r="G58" s="76"/>
    </row>
    <row r="59" spans="1:7" ht="12.75">
      <c r="A59" s="75" t="s">
        <v>948</v>
      </c>
      <c r="B59" s="61"/>
      <c r="C59" s="61"/>
      <c r="D59" s="63"/>
      <c r="E59" s="61"/>
      <c r="F59" s="61"/>
      <c r="G59" s="973">
        <f>+F58</f>
        <v>3044518.0999999996</v>
      </c>
    </row>
    <row r="60" spans="1:7" ht="13.5" thickBot="1">
      <c r="A60" s="75"/>
      <c r="B60" s="61"/>
      <c r="C60" s="61"/>
      <c r="D60" s="63"/>
      <c r="E60" s="61"/>
      <c r="F60" s="170">
        <f>SUM(F58:F59)</f>
        <v>3044518.0999999996</v>
      </c>
      <c r="G60" s="974">
        <f>SUM(G58:G59)</f>
        <v>3044518.0999999996</v>
      </c>
    </row>
    <row r="61" spans="1:7" ht="13.5" thickTop="1">
      <c r="A61" s="75" t="s">
        <v>653</v>
      </c>
      <c r="B61" s="61"/>
      <c r="C61" s="61"/>
      <c r="D61" s="63"/>
      <c r="E61" s="61"/>
      <c r="F61" s="61"/>
      <c r="G61" s="76"/>
    </row>
    <row r="62" spans="1:7" ht="12.75">
      <c r="A62" s="25"/>
      <c r="B62" s="26"/>
      <c r="C62" s="26"/>
      <c r="D62" s="31"/>
      <c r="E62" s="26"/>
      <c r="F62" s="26"/>
      <c r="G62" s="263"/>
    </row>
  </sheetData>
  <mergeCells count="1">
    <mergeCell ref="A24:G24"/>
  </mergeCells>
  <printOptions/>
  <pageMargins left="0.75" right="0.75" top="1" bottom="1" header="0.5" footer="0.5"/>
  <pageSetup horizontalDpi="300" verticalDpi="300" orientation="portrait" paperSize="9" scale="89" r:id="rId1"/>
  <headerFooter alignWithMargins="0">
    <oddHeader>&amp;R&amp;D  &amp;T</oddHeader>
  </headerFooter>
</worksheet>
</file>

<file path=xl/worksheets/sheet39.xml><?xml version="1.0" encoding="utf-8"?>
<worksheet xmlns="http://schemas.openxmlformats.org/spreadsheetml/2006/main" xmlns:r="http://schemas.openxmlformats.org/officeDocument/2006/relationships">
  <sheetPr>
    <pageSetUpPr fitToPage="1"/>
  </sheetPr>
  <dimension ref="A1:J35"/>
  <sheetViews>
    <sheetView workbookViewId="0" topLeftCell="A20">
      <selection activeCell="E35" sqref="E35"/>
    </sheetView>
  </sheetViews>
  <sheetFormatPr defaultColWidth="9.140625" defaultRowHeight="12.75"/>
  <cols>
    <col min="1" max="1" width="17.28125" style="2" customWidth="1"/>
    <col min="2" max="2" width="13.7109375" style="2" bestFit="1" customWidth="1"/>
    <col min="3" max="3" width="12.57421875" style="2" bestFit="1" customWidth="1"/>
    <col min="4" max="4" width="5.8515625" style="2" customWidth="1"/>
    <col min="5" max="5" width="12.421875" style="2" bestFit="1" customWidth="1"/>
    <col min="6" max="16384" width="8.8515625" style="2" customWidth="1"/>
  </cols>
  <sheetData>
    <row r="1" ht="15.75">
      <c r="A1" s="86" t="s">
        <v>1</v>
      </c>
    </row>
    <row r="2" ht="12.75">
      <c r="A2" s="60" t="s">
        <v>1615</v>
      </c>
    </row>
    <row r="4" spans="2:5" ht="12.75">
      <c r="B4" s="187" t="s">
        <v>2</v>
      </c>
      <c r="C4" s="187" t="s">
        <v>3</v>
      </c>
      <c r="E4" s="65" t="s">
        <v>3</v>
      </c>
    </row>
    <row r="5" spans="1:3" ht="12.75">
      <c r="A5" s="2" t="s">
        <v>318</v>
      </c>
      <c r="B5" s="296"/>
      <c r="C5" s="296"/>
    </row>
    <row r="6" spans="1:3" ht="12.75">
      <c r="A6" s="2" t="s">
        <v>319</v>
      </c>
      <c r="B6" s="296"/>
      <c r="C6" s="321"/>
    </row>
    <row r="7" spans="1:10" ht="12.75">
      <c r="A7" s="445" t="s">
        <v>331</v>
      </c>
      <c r="B7" s="296"/>
      <c r="C7" s="296">
        <f>20.5</f>
        <v>20.5</v>
      </c>
      <c r="E7" s="322"/>
      <c r="F7" s="2" t="s">
        <v>224</v>
      </c>
      <c r="J7" s="2">
        <v>20149</v>
      </c>
    </row>
    <row r="8" spans="1:10" ht="12.75">
      <c r="A8" s="445" t="s">
        <v>321</v>
      </c>
      <c r="B8" s="296"/>
      <c r="C8" s="2">
        <f>1474661/1000</f>
        <v>1474.661</v>
      </c>
      <c r="F8" s="2" t="s">
        <v>225</v>
      </c>
      <c r="J8" s="2">
        <v>583974</v>
      </c>
    </row>
    <row r="9" spans="1:3" ht="12.75">
      <c r="A9" s="2" t="s">
        <v>320</v>
      </c>
      <c r="B9" s="296"/>
      <c r="C9" s="321"/>
    </row>
    <row r="10" spans="1:3" ht="12.75">
      <c r="A10" s="2" t="s">
        <v>555</v>
      </c>
      <c r="B10" s="296"/>
      <c r="C10" s="296"/>
    </row>
    <row r="11" spans="1:3" ht="12.75">
      <c r="A11" s="2" t="s">
        <v>332</v>
      </c>
      <c r="B11" s="296"/>
      <c r="C11" s="296"/>
    </row>
    <row r="12" spans="1:3" ht="12.75">
      <c r="A12" s="2" t="s">
        <v>323</v>
      </c>
      <c r="B12" s="296"/>
      <c r="C12" s="296"/>
    </row>
    <row r="13" spans="1:3" ht="12.75">
      <c r="A13" s="2" t="s">
        <v>336</v>
      </c>
      <c r="B13" s="296"/>
      <c r="C13" s="296"/>
    </row>
    <row r="14" spans="1:10" ht="12.75">
      <c r="A14" s="444" t="s">
        <v>920</v>
      </c>
      <c r="B14" s="296"/>
      <c r="C14" s="321">
        <f>70500/1000</f>
        <v>70.5</v>
      </c>
      <c r="J14" s="2">
        <v>28371</v>
      </c>
    </row>
    <row r="15" spans="1:10" ht="12.75">
      <c r="A15" s="444" t="s">
        <v>350</v>
      </c>
      <c r="B15" s="296"/>
      <c r="C15" s="296">
        <f>7000/1000</f>
        <v>7</v>
      </c>
      <c r="J15" s="2">
        <v>7000</v>
      </c>
    </row>
    <row r="16" spans="2:3" ht="12.75">
      <c r="B16" s="64">
        <f>SUM(B5:B15)</f>
        <v>0</v>
      </c>
      <c r="C16" s="64">
        <f>SUM(C5:C15)</f>
        <v>1572.661</v>
      </c>
    </row>
    <row r="19" spans="2:5" ht="12.75">
      <c r="B19" s="62" t="s">
        <v>329</v>
      </c>
      <c r="C19" s="60" t="s">
        <v>242</v>
      </c>
      <c r="E19" s="62" t="s">
        <v>561</v>
      </c>
    </row>
    <row r="20" spans="1:3" ht="12.75">
      <c r="A20" s="60"/>
      <c r="C20" s="62" t="s">
        <v>519</v>
      </c>
    </row>
    <row r="21" spans="1:5" ht="12.75">
      <c r="A21" s="2" t="s">
        <v>1505</v>
      </c>
      <c r="B21" s="329">
        <f aca="true" t="shared" si="0" ref="B21:B26">SUM(C21:E21)</f>
        <v>0</v>
      </c>
      <c r="C21" s="325"/>
      <c r="E21" s="1"/>
    </row>
    <row r="22" spans="1:6" ht="12.75">
      <c r="A22" s="2" t="s">
        <v>230</v>
      </c>
      <c r="B22" s="329">
        <f t="shared" si="0"/>
        <v>0</v>
      </c>
      <c r="C22" s="1"/>
      <c r="E22" s="67">
        <f>+B16</f>
        <v>0</v>
      </c>
      <c r="F22" s="2" t="s">
        <v>235</v>
      </c>
    </row>
    <row r="23" spans="1:5" ht="12.75">
      <c r="A23" s="2" t="s">
        <v>545</v>
      </c>
      <c r="B23" s="329">
        <f t="shared" si="0"/>
        <v>-13696.248</v>
      </c>
      <c r="C23" s="1"/>
      <c r="E23" s="67">
        <f>-'P&amp;L'!U92</f>
        <v>-13696.248</v>
      </c>
    </row>
    <row r="24" spans="1:5" ht="12.75">
      <c r="A24" s="2" t="s">
        <v>233</v>
      </c>
      <c r="B24" s="329">
        <f t="shared" si="0"/>
        <v>0</v>
      </c>
      <c r="C24" s="1"/>
      <c r="E24" s="67">
        <f>+'P&amp;L'!Y68</f>
        <v>0</v>
      </c>
    </row>
    <row r="25" spans="1:5" ht="12.75">
      <c r="A25" s="2" t="s">
        <v>243</v>
      </c>
      <c r="B25" s="329">
        <f t="shared" si="0"/>
        <v>0</v>
      </c>
      <c r="C25" s="1"/>
      <c r="E25" s="67"/>
    </row>
    <row r="26" spans="1:6" ht="12.75">
      <c r="A26" s="2" t="s">
        <v>231</v>
      </c>
      <c r="B26" s="329">
        <f t="shared" si="0"/>
        <v>-17.33979999999997</v>
      </c>
      <c r="C26" s="1"/>
      <c r="E26" s="166">
        <f>+E29+E31</f>
        <v>-17.33979999999997</v>
      </c>
      <c r="F26" s="2" t="s">
        <v>234</v>
      </c>
    </row>
    <row r="27" spans="1:5" ht="13.5" thickBot="1">
      <c r="A27" s="2" t="s">
        <v>1508</v>
      </c>
      <c r="B27" s="327">
        <f>SUM(B21:B26)</f>
        <v>-13713.5878</v>
      </c>
      <c r="C27" s="326">
        <f>SUM(C21:C26)</f>
        <v>0</v>
      </c>
      <c r="E27" s="326">
        <f>SUM(E21:E26)</f>
        <v>-13713.5878</v>
      </c>
    </row>
    <row r="28" ht="13.5" thickTop="1"/>
    <row r="29" spans="1:5" ht="12.75">
      <c r="A29" s="2" t="s">
        <v>232</v>
      </c>
      <c r="B29" s="67">
        <f>SUM(C29:E29)</f>
        <v>-1572.661</v>
      </c>
      <c r="C29" s="1"/>
      <c r="E29" s="67">
        <f>-C16-E7</f>
        <v>-1572.661</v>
      </c>
    </row>
    <row r="31" spans="1:5" ht="12.75">
      <c r="A31" s="2" t="s">
        <v>229</v>
      </c>
      <c r="B31" s="67">
        <f>SUM(C31:E31)</f>
        <v>1555.3212</v>
      </c>
      <c r="C31" s="67">
        <f>-C29+C26</f>
        <v>0</v>
      </c>
      <c r="E31" s="1">
        <f>'P&amp;L'!Y25</f>
        <v>1555.3212</v>
      </c>
    </row>
    <row r="32" ht="12.75">
      <c r="C32" s="67"/>
    </row>
    <row r="33" spans="1:5" s="1" customFormat="1" ht="12.75">
      <c r="A33" s="1" t="s">
        <v>1508</v>
      </c>
      <c r="C33" s="1">
        <f>+'Cond BS'!D14</f>
        <v>2009</v>
      </c>
      <c r="E33" s="1">
        <f>+'Cond BS'!D12</f>
        <v>53760</v>
      </c>
    </row>
    <row r="35" spans="3:5" ht="12.75">
      <c r="C35" s="67">
        <f>+C27-C33</f>
        <v>-2009</v>
      </c>
      <c r="E35" s="67">
        <f>+E27-E33</f>
        <v>-67473.5878</v>
      </c>
    </row>
  </sheetData>
  <printOptions/>
  <pageMargins left="0.75" right="0.75" top="1" bottom="1" header="0.5" footer="0.5"/>
  <pageSetup fitToHeight="1" fitToWidth="1" horizontalDpi="300" verticalDpi="3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workbookViewId="0" topLeftCell="A1">
      <selection activeCell="B24" sqref="B24"/>
    </sheetView>
  </sheetViews>
  <sheetFormatPr defaultColWidth="9.140625" defaultRowHeight="12.75"/>
  <cols>
    <col min="1" max="1" width="3.00390625" style="2" customWidth="1"/>
    <col min="2" max="2" width="51.57421875" style="2" customWidth="1"/>
    <col min="3" max="3" width="13.00390625" style="512" customWidth="1"/>
    <col min="4" max="4" width="3.140625" style="2" customWidth="1"/>
    <col min="5" max="5" width="13.140625" style="512" customWidth="1"/>
    <col min="6" max="6" width="5.57421875" style="2" customWidth="1"/>
    <col min="7" max="16384" width="8.8515625" style="2" customWidth="1"/>
  </cols>
  <sheetData>
    <row r="1" ht="18.75">
      <c r="A1" s="213" t="s">
        <v>1617</v>
      </c>
    </row>
    <row r="3" spans="1:2" ht="15.75">
      <c r="A3" s="212" t="s">
        <v>1474</v>
      </c>
      <c r="B3" s="60"/>
    </row>
    <row r="4" spans="1:2" ht="15.75">
      <c r="A4" s="212" t="s">
        <v>433</v>
      </c>
      <c r="B4" s="60"/>
    </row>
    <row r="6" spans="3:6" ht="12.75">
      <c r="C6" s="513" t="s">
        <v>1600</v>
      </c>
      <c r="D6" s="62"/>
      <c r="E6" s="513" t="s">
        <v>707</v>
      </c>
      <c r="F6" s="62"/>
    </row>
    <row r="7" spans="3:6" ht="12.75">
      <c r="C7" s="513" t="s">
        <v>706</v>
      </c>
      <c r="D7" s="62"/>
      <c r="E7" s="513" t="s">
        <v>706</v>
      </c>
      <c r="F7" s="62"/>
    </row>
    <row r="8" spans="3:6" ht="12.75">
      <c r="C8" s="514">
        <v>39113</v>
      </c>
      <c r="D8" s="515"/>
      <c r="E8" s="514">
        <v>38748</v>
      </c>
      <c r="F8" s="515"/>
    </row>
    <row r="9" spans="3:5" ht="12.75">
      <c r="C9" s="513" t="s">
        <v>521</v>
      </c>
      <c r="E9" s="513" t="s">
        <v>521</v>
      </c>
    </row>
    <row r="10" ht="12.75">
      <c r="C10" s="513"/>
    </row>
    <row r="11" spans="1:6" ht="12.75">
      <c r="A11" s="2" t="s">
        <v>1495</v>
      </c>
      <c r="C11" s="516">
        <f>'[8]FRS PL'!G27</f>
        <v>24560.432299999957</v>
      </c>
      <c r="D11" s="517"/>
      <c r="E11" s="516">
        <v>25284</v>
      </c>
      <c r="F11" s="517"/>
    </row>
    <row r="12" spans="3:6" ht="12.75">
      <c r="C12" s="516"/>
      <c r="D12" s="517"/>
      <c r="E12" s="516"/>
      <c r="F12" s="517"/>
    </row>
    <row r="13" spans="1:6" ht="12.75">
      <c r="A13" s="2" t="s">
        <v>1427</v>
      </c>
      <c r="C13" s="516"/>
      <c r="D13" s="517"/>
      <c r="E13" s="516"/>
      <c r="F13" s="517"/>
    </row>
    <row r="14" spans="2:6" ht="12.75">
      <c r="B14" s="2" t="s">
        <v>1428</v>
      </c>
      <c r="C14" s="518">
        <f>+'[5]Cash flows 2007'!$P$18</f>
        <v>13525</v>
      </c>
      <c r="D14" s="517"/>
      <c r="E14" s="516">
        <v>10066</v>
      </c>
      <c r="F14" s="517"/>
    </row>
    <row r="15" spans="2:8" ht="12.75">
      <c r="B15" s="2" t="s">
        <v>1371</v>
      </c>
      <c r="C15" s="518">
        <v>-1280</v>
      </c>
      <c r="D15" s="519"/>
      <c r="E15" s="516">
        <v>-1643</v>
      </c>
      <c r="F15" s="519"/>
      <c r="H15" s="166"/>
    </row>
    <row r="16" spans="2:6" ht="12.75">
      <c r="B16" s="2" t="s">
        <v>1429</v>
      </c>
      <c r="C16" s="518">
        <v>1145</v>
      </c>
      <c r="D16" s="517"/>
      <c r="E16" s="516">
        <v>1027</v>
      </c>
      <c r="F16" s="517"/>
    </row>
    <row r="17" spans="2:6" ht="12.75">
      <c r="B17" s="2" t="s">
        <v>1430</v>
      </c>
      <c r="C17" s="518">
        <v>-752</v>
      </c>
      <c r="D17" s="519"/>
      <c r="E17" s="516">
        <v>-269</v>
      </c>
      <c r="F17" s="519"/>
    </row>
    <row r="18" spans="2:6" ht="12.75">
      <c r="B18" s="2" t="s">
        <v>434</v>
      </c>
      <c r="C18" s="518">
        <v>-104</v>
      </c>
      <c r="D18" s="519"/>
      <c r="E18" s="516">
        <v>-1</v>
      </c>
      <c r="F18" s="519"/>
    </row>
    <row r="19" spans="2:6" ht="12.75">
      <c r="B19" s="2" t="s">
        <v>1343</v>
      </c>
      <c r="C19" s="518">
        <v>-1555</v>
      </c>
      <c r="D19" s="519"/>
      <c r="E19" s="549">
        <v>0</v>
      </c>
      <c r="F19" s="519"/>
    </row>
    <row r="20" spans="2:6" ht="12.75">
      <c r="B20" s="2" t="s">
        <v>708</v>
      </c>
      <c r="C20" s="518">
        <v>346</v>
      </c>
      <c r="D20" s="519"/>
      <c r="E20" s="549">
        <v>0</v>
      </c>
      <c r="F20" s="519"/>
    </row>
    <row r="21" spans="2:6" ht="12.75">
      <c r="B21" s="2" t="s">
        <v>120</v>
      </c>
      <c r="C21" s="518">
        <v>0</v>
      </c>
      <c r="D21" s="519"/>
      <c r="E21" s="549">
        <v>592</v>
      </c>
      <c r="F21" s="519"/>
    </row>
    <row r="22" spans="2:6" ht="12.75">
      <c r="B22" s="2" t="s">
        <v>121</v>
      </c>
      <c r="C22" s="518">
        <v>-490</v>
      </c>
      <c r="D22" s="519"/>
      <c r="E22" s="549">
        <v>-534</v>
      </c>
      <c r="F22" s="519"/>
    </row>
    <row r="23" spans="2:6" ht="12.75">
      <c r="B23" s="2" t="s">
        <v>709</v>
      </c>
      <c r="C23" s="518">
        <v>-20</v>
      </c>
      <c r="D23" s="519"/>
      <c r="E23" s="1077" t="s">
        <v>439</v>
      </c>
      <c r="F23" s="519"/>
    </row>
    <row r="24" spans="1:6" ht="12.75">
      <c r="A24" s="2" t="s">
        <v>710</v>
      </c>
      <c r="C24" s="521">
        <f>SUM(C11:C23)</f>
        <v>35375.43229999996</v>
      </c>
      <c r="D24" s="520"/>
      <c r="E24" s="521">
        <f>SUM(E11:E23)</f>
        <v>34522</v>
      </c>
      <c r="F24" s="517"/>
    </row>
    <row r="25" spans="1:6" ht="12.75">
      <c r="A25" s="2" t="s">
        <v>1431</v>
      </c>
      <c r="C25" s="516"/>
      <c r="D25" s="517"/>
      <c r="E25" s="516"/>
      <c r="F25" s="517"/>
    </row>
    <row r="26" spans="2:6" ht="12.75" customHeight="1">
      <c r="B26" s="2" t="s">
        <v>1481</v>
      </c>
      <c r="C26" s="518">
        <f>15611-537</f>
        <v>15074</v>
      </c>
      <c r="D26" s="517"/>
      <c r="E26" s="518">
        <v>-15703</v>
      </c>
      <c r="F26" s="517"/>
    </row>
    <row r="27" spans="2:6" ht="12.75">
      <c r="B27" s="2" t="s">
        <v>1494</v>
      </c>
      <c r="C27" s="518">
        <f>-7711+2150+1075-1</f>
        <v>-4487</v>
      </c>
      <c r="D27" s="519"/>
      <c r="E27" s="550">
        <v>8992</v>
      </c>
      <c r="F27" s="519"/>
    </row>
    <row r="28" spans="1:6" ht="12.75">
      <c r="A28" s="2" t="s">
        <v>711</v>
      </c>
      <c r="C28" s="521">
        <f>SUM(C24:C27)</f>
        <v>45962.43229999996</v>
      </c>
      <c r="D28" s="520"/>
      <c r="E28" s="549">
        <f>SUM(E24:E27)</f>
        <v>27811</v>
      </c>
      <c r="F28" s="520"/>
    </row>
    <row r="29" spans="3:6" ht="12.75">
      <c r="C29" s="516"/>
      <c r="D29" s="517"/>
      <c r="E29" s="516"/>
      <c r="F29" s="517"/>
    </row>
    <row r="30" spans="2:6" ht="12.75">
      <c r="B30" s="2" t="s">
        <v>712</v>
      </c>
      <c r="C30" s="518">
        <f>+'[4]Cash flows 2007'!$U$30+'[4]Cash flows 2007'!$U$44</f>
        <v>-3997.4889999999996</v>
      </c>
      <c r="D30" s="519"/>
      <c r="E30" s="550">
        <v>-5064</v>
      </c>
      <c r="F30" s="519"/>
    </row>
    <row r="31" spans="1:6" ht="12.75">
      <c r="A31" s="2" t="s">
        <v>1504</v>
      </c>
      <c r="C31" s="542">
        <f>SUM(C28:C30)</f>
        <v>41964.943299999955</v>
      </c>
      <c r="D31" s="520"/>
      <c r="E31" s="549">
        <f>SUM(E28:E30)</f>
        <v>22747</v>
      </c>
      <c r="F31" s="520"/>
    </row>
    <row r="32" spans="3:6" ht="12.75">
      <c r="C32" s="518"/>
      <c r="D32" s="517"/>
      <c r="E32" s="516"/>
      <c r="F32" s="517"/>
    </row>
    <row r="33" spans="1:6" ht="12.75">
      <c r="A33" s="2" t="s">
        <v>1496</v>
      </c>
      <c r="C33" s="516"/>
      <c r="D33" s="517"/>
      <c r="E33" s="516"/>
      <c r="F33" s="517"/>
    </row>
    <row r="34" spans="2:6" ht="12.75">
      <c r="B34" s="2" t="s">
        <v>17</v>
      </c>
      <c r="C34" s="518">
        <v>-18770</v>
      </c>
      <c r="D34" s="519"/>
      <c r="E34" s="516">
        <v>-18998</v>
      </c>
      <c r="F34" s="519"/>
    </row>
    <row r="35" spans="2:6" ht="12.75">
      <c r="B35" s="2" t="s">
        <v>713</v>
      </c>
      <c r="C35" s="518">
        <v>151</v>
      </c>
      <c r="D35" s="519"/>
      <c r="E35" s="516">
        <v>1</v>
      </c>
      <c r="F35" s="519"/>
    </row>
    <row r="36" spans="2:6" ht="12.75">
      <c r="B36" s="2" t="s">
        <v>1329</v>
      </c>
      <c r="C36" s="518">
        <f>+'[4]Cash flows 2007'!$W$14</f>
        <v>1570</v>
      </c>
      <c r="D36" s="517"/>
      <c r="E36" s="516">
        <v>0</v>
      </c>
      <c r="F36" s="517"/>
    </row>
    <row r="37" spans="2:6" ht="12.75">
      <c r="B37" s="2" t="s">
        <v>1605</v>
      </c>
      <c r="C37" s="518">
        <v>70</v>
      </c>
      <c r="D37" s="517"/>
      <c r="E37" s="1076" t="s">
        <v>439</v>
      </c>
      <c r="F37" s="517"/>
    </row>
    <row r="38" spans="2:6" ht="12.75">
      <c r="B38" s="2" t="s">
        <v>714</v>
      </c>
      <c r="C38" s="518">
        <v>911</v>
      </c>
      <c r="D38" s="517"/>
      <c r="E38" s="516">
        <v>1770</v>
      </c>
      <c r="F38" s="517"/>
    </row>
    <row r="39" spans="2:6" ht="12.75">
      <c r="B39" s="2" t="s">
        <v>715</v>
      </c>
      <c r="C39" s="518">
        <v>50</v>
      </c>
      <c r="D39" s="517"/>
      <c r="E39" s="516">
        <v>75</v>
      </c>
      <c r="F39" s="517"/>
    </row>
    <row r="40" spans="2:6" ht="12.75">
      <c r="B40" s="2" t="s">
        <v>1436</v>
      </c>
      <c r="C40" s="518">
        <v>752</v>
      </c>
      <c r="D40" s="517"/>
      <c r="E40" s="516">
        <v>269</v>
      </c>
      <c r="F40" s="517"/>
    </row>
    <row r="41" spans="2:6" ht="12.75">
      <c r="B41" s="2" t="s">
        <v>716</v>
      </c>
      <c r="C41" s="523">
        <f>SUM(C34:C40)</f>
        <v>-15266</v>
      </c>
      <c r="D41" s="522"/>
      <c r="E41" s="523">
        <f>SUM(E34:E40)</f>
        <v>-16883</v>
      </c>
      <c r="F41" s="517"/>
    </row>
    <row r="42" spans="3:6" ht="12.75">
      <c r="C42" s="549"/>
      <c r="D42" s="522"/>
      <c r="E42" s="549"/>
      <c r="F42" s="517"/>
    </row>
    <row r="43" spans="1:6" ht="12.75">
      <c r="A43" s="2" t="s">
        <v>1432</v>
      </c>
      <c r="D43" s="119"/>
      <c r="F43" s="119"/>
    </row>
    <row r="44" spans="2:6" ht="12.75">
      <c r="B44" s="2" t="s">
        <v>1503</v>
      </c>
      <c r="C44" s="518">
        <f>-+C16</f>
        <v>-1145</v>
      </c>
      <c r="D44" s="519"/>
      <c r="E44" s="516">
        <v>-1027</v>
      </c>
      <c r="F44" s="519"/>
    </row>
    <row r="45" spans="2:6" ht="12.75">
      <c r="B45" s="2" t="s">
        <v>189</v>
      </c>
      <c r="C45" s="518">
        <v>30</v>
      </c>
      <c r="D45" s="519"/>
      <c r="E45" s="516">
        <v>67</v>
      </c>
      <c r="F45" s="519"/>
    </row>
    <row r="46" spans="2:6" ht="12.75">
      <c r="B46" s="2" t="s">
        <v>717</v>
      </c>
      <c r="C46" s="518">
        <v>-1115</v>
      </c>
      <c r="D46" s="519"/>
      <c r="E46" s="516">
        <v>5440</v>
      </c>
      <c r="F46" s="519"/>
    </row>
    <row r="47" spans="2:6" ht="12.75">
      <c r="B47" s="2" t="s">
        <v>718</v>
      </c>
      <c r="C47" s="518">
        <v>-290</v>
      </c>
      <c r="D47" s="519"/>
      <c r="E47" s="516">
        <v>-4927</v>
      </c>
      <c r="F47" s="519"/>
    </row>
    <row r="48" spans="2:6" ht="12.75">
      <c r="B48" s="2" t="s">
        <v>122</v>
      </c>
      <c r="C48" s="518">
        <v>0</v>
      </c>
      <c r="D48" s="519"/>
      <c r="E48" s="516">
        <v>-58</v>
      </c>
      <c r="F48" s="519"/>
    </row>
    <row r="49" spans="2:6" ht="12.75">
      <c r="B49" s="2" t="s">
        <v>719</v>
      </c>
      <c r="C49" s="523">
        <f>SUM(C44:C48)</f>
        <v>-2520</v>
      </c>
      <c r="D49" s="522"/>
      <c r="E49" s="523">
        <f>SUM(E44:E48)</f>
        <v>-505</v>
      </c>
      <c r="F49" s="522"/>
    </row>
    <row r="50" spans="4:6" ht="12.75">
      <c r="D50" s="119"/>
      <c r="F50" s="119"/>
    </row>
    <row r="51" spans="1:6" ht="12.75">
      <c r="A51" s="2" t="s">
        <v>720</v>
      </c>
      <c r="C51" s="512">
        <f>+C31+C41+C49</f>
        <v>24178.943299999955</v>
      </c>
      <c r="D51" s="119"/>
      <c r="E51" s="512">
        <f>+E31+E41+E49+1</f>
        <v>5360</v>
      </c>
      <c r="F51" s="119"/>
    </row>
    <row r="52" spans="4:6" ht="12.75">
      <c r="D52" s="119"/>
      <c r="F52" s="119"/>
    </row>
    <row r="53" spans="1:6" ht="12.75">
      <c r="A53" s="2" t="s">
        <v>721</v>
      </c>
      <c r="C53" s="516">
        <f>'[8]Cond BS'!F27</f>
        <v>21870</v>
      </c>
      <c r="D53" s="517"/>
      <c r="E53" s="516">
        <v>16510</v>
      </c>
      <c r="F53" s="517"/>
    </row>
    <row r="54" spans="4:6" ht="12.75">
      <c r="D54" s="119"/>
      <c r="F54" s="119"/>
    </row>
    <row r="55" spans="1:6" ht="12.75">
      <c r="A55" s="2" t="s">
        <v>722</v>
      </c>
      <c r="C55" s="524">
        <f>SUM(C51:C53)</f>
        <v>46048.943299999955</v>
      </c>
      <c r="D55" s="129"/>
      <c r="E55" s="524">
        <f>SUM(E51:E53)</f>
        <v>21870</v>
      </c>
      <c r="F55" s="129"/>
    </row>
    <row r="56" spans="3:6" ht="12.75">
      <c r="C56" s="551"/>
      <c r="D56" s="22"/>
      <c r="F56" s="22"/>
    </row>
    <row r="57" spans="4:6" ht="12.75">
      <c r="D57" s="22"/>
      <c r="F57" s="22"/>
    </row>
    <row r="58" spans="4:6" ht="12.75">
      <c r="D58" s="22"/>
      <c r="F58" s="22"/>
    </row>
    <row r="59" spans="4:6" ht="12.75">
      <c r="D59" s="22"/>
      <c r="F59" s="22"/>
    </row>
    <row r="60" spans="4:6" ht="12.75">
      <c r="D60" s="22"/>
      <c r="F60" s="22"/>
    </row>
    <row r="61" spans="4:6" ht="12.75">
      <c r="D61" s="22"/>
      <c r="F61" s="22"/>
    </row>
    <row r="62" spans="2:6" ht="12.75" hidden="1">
      <c r="B62" s="525" t="s">
        <v>1437</v>
      </c>
      <c r="C62" s="526">
        <f>+'[8]FRS BS'!D23</f>
        <v>46049</v>
      </c>
      <c r="D62" s="527"/>
      <c r="E62" s="551">
        <v>0</v>
      </c>
      <c r="F62" s="527"/>
    </row>
    <row r="63" spans="2:6" ht="12.75" hidden="1">
      <c r="B63" s="42"/>
      <c r="C63" s="528"/>
      <c r="D63" s="42"/>
      <c r="E63" s="528"/>
      <c r="F63" s="42"/>
    </row>
    <row r="64" spans="2:6" ht="12.75" hidden="1">
      <c r="B64" s="42"/>
      <c r="C64" s="859">
        <f>+C55-C62</f>
        <v>-0.05670000004465692</v>
      </c>
      <c r="D64" s="529"/>
      <c r="E64" s="552">
        <v>0</v>
      </c>
      <c r="F64" s="529"/>
    </row>
    <row r="65" spans="2:6" ht="12.75" hidden="1">
      <c r="B65" s="42"/>
      <c r="C65" s="530"/>
      <c r="D65" s="529"/>
      <c r="E65" s="553"/>
      <c r="F65" s="529"/>
    </row>
    <row r="66" spans="1:2" ht="12.75">
      <c r="A66" s="545"/>
      <c r="B66" s="544"/>
    </row>
  </sheetData>
  <printOptions horizontalCentered="1" verticalCentered="1"/>
  <pageMargins left="0.48" right="0.25" top="0.23" bottom="0.24" header="0.25" footer="0.24"/>
  <pageSetup fitToHeight="1" fitToWidth="1" horizontalDpi="300" verticalDpi="300" orientation="portrait" paperSize="9" r:id="rId2"/>
  <drawing r:id="rId1"/>
</worksheet>
</file>

<file path=xl/worksheets/sheet40.xml><?xml version="1.0" encoding="utf-8"?>
<worksheet xmlns="http://schemas.openxmlformats.org/spreadsheetml/2006/main" xmlns:r="http://schemas.openxmlformats.org/officeDocument/2006/relationships">
  <dimension ref="A1:F38"/>
  <sheetViews>
    <sheetView workbookViewId="0" topLeftCell="A14">
      <selection activeCell="A26" sqref="A26"/>
    </sheetView>
  </sheetViews>
  <sheetFormatPr defaultColWidth="9.140625" defaultRowHeight="12.75"/>
  <cols>
    <col min="1" max="1" width="3.8515625" style="2" customWidth="1"/>
    <col min="2" max="2" width="34.00390625" style="2" bestFit="1" customWidth="1"/>
    <col min="3" max="3" width="12.00390625" style="2" customWidth="1"/>
    <col min="4" max="4" width="12.7109375" style="2" bestFit="1" customWidth="1"/>
    <col min="5" max="5" width="10.7109375" style="2" bestFit="1" customWidth="1"/>
    <col min="6" max="6" width="12.7109375" style="2" bestFit="1" customWidth="1"/>
    <col min="7" max="16384" width="8.8515625" style="2" customWidth="1"/>
  </cols>
  <sheetData>
    <row r="1" spans="1:6" ht="15.75">
      <c r="A1" s="1139" t="s">
        <v>1593</v>
      </c>
      <c r="B1" s="1140"/>
      <c r="C1" s="1140"/>
      <c r="D1" s="1140"/>
      <c r="E1" s="1140"/>
      <c r="F1" s="1141"/>
    </row>
    <row r="2" spans="1:6" ht="15.75">
      <c r="A2" s="264"/>
      <c r="B2" s="264"/>
      <c r="C2" s="264"/>
      <c r="D2" s="264"/>
      <c r="E2" s="264"/>
      <c r="F2" s="264"/>
    </row>
    <row r="3" spans="1:6" ht="15">
      <c r="A3" s="1142" t="s">
        <v>1594</v>
      </c>
      <c r="B3" s="1142"/>
      <c r="C3" s="1142"/>
      <c r="D3" s="1142"/>
      <c r="E3" s="1142"/>
      <c r="F3" s="1142"/>
    </row>
    <row r="4" spans="1:6" ht="15">
      <c r="A4" s="1142" t="s">
        <v>1595</v>
      </c>
      <c r="B4" s="1142"/>
      <c r="C4" s="1142"/>
      <c r="D4" s="1142"/>
      <c r="E4" s="1142"/>
      <c r="F4" s="1142"/>
    </row>
    <row r="5" spans="1:6" ht="15">
      <c r="A5" s="1143">
        <v>39021</v>
      </c>
      <c r="B5" s="1143"/>
      <c r="C5" s="1143"/>
      <c r="D5" s="1143"/>
      <c r="E5" s="1143"/>
      <c r="F5" s="1143"/>
    </row>
    <row r="7" spans="1:6" ht="12.75">
      <c r="A7" s="23"/>
      <c r="B7" s="262"/>
      <c r="C7" s="1137" t="s">
        <v>740</v>
      </c>
      <c r="D7" s="1138"/>
      <c r="E7" s="1137" t="s">
        <v>741</v>
      </c>
      <c r="F7" s="1138"/>
    </row>
    <row r="8" spans="1:6" ht="12.75">
      <c r="A8" s="75" t="s">
        <v>469</v>
      </c>
      <c r="B8" s="76"/>
      <c r="C8" s="38" t="s">
        <v>1610</v>
      </c>
      <c r="D8" s="38" t="s">
        <v>1596</v>
      </c>
      <c r="E8" s="38" t="s">
        <v>1600</v>
      </c>
      <c r="F8" s="38" t="s">
        <v>1596</v>
      </c>
    </row>
    <row r="9" spans="1:6" ht="12.75">
      <c r="A9" s="75"/>
      <c r="B9" s="76"/>
      <c r="C9" s="261" t="s">
        <v>614</v>
      </c>
      <c r="D9" s="261" t="s">
        <v>1598</v>
      </c>
      <c r="E9" s="261" t="s">
        <v>1601</v>
      </c>
      <c r="F9" s="261" t="s">
        <v>1598</v>
      </c>
    </row>
    <row r="10" spans="1:6" ht="12.75">
      <c r="A10" s="75"/>
      <c r="B10" s="76"/>
      <c r="C10" s="261"/>
      <c r="D10" s="261" t="s">
        <v>614</v>
      </c>
      <c r="E10" s="261"/>
      <c r="F10" s="261" t="s">
        <v>1599</v>
      </c>
    </row>
    <row r="11" spans="1:6" ht="12.75">
      <c r="A11" s="75"/>
      <c r="B11" s="76"/>
      <c r="C11" s="316">
        <v>39021</v>
      </c>
      <c r="D11" s="316">
        <v>38656</v>
      </c>
      <c r="E11" s="316">
        <f>+C11</f>
        <v>39021</v>
      </c>
      <c r="F11" s="316">
        <f>+D11</f>
        <v>38656</v>
      </c>
    </row>
    <row r="12" spans="1:6" ht="12.75">
      <c r="A12" s="25"/>
      <c r="B12" s="263"/>
      <c r="C12" s="210" t="s">
        <v>521</v>
      </c>
      <c r="D12" s="210" t="s">
        <v>521</v>
      </c>
      <c r="E12" s="210" t="s">
        <v>521</v>
      </c>
      <c r="F12" s="210" t="s">
        <v>521</v>
      </c>
    </row>
    <row r="13" spans="1:6" ht="12.75">
      <c r="A13" s="29">
        <v>1</v>
      </c>
      <c r="B13" s="2" t="s">
        <v>1318</v>
      </c>
      <c r="C13" s="30">
        <f>+'FRS PL'!C13</f>
        <v>48944</v>
      </c>
      <c r="D13" s="30">
        <f>+'FRS PL'!E13</f>
        <v>51991</v>
      </c>
      <c r="E13" s="30">
        <f>+'FRS PL'!G13</f>
        <v>215726</v>
      </c>
      <c r="F13" s="30">
        <f>+'FRS PL'!I13</f>
        <v>211228</v>
      </c>
    </row>
    <row r="14" spans="1:6" ht="12.75">
      <c r="A14" s="29">
        <v>2</v>
      </c>
      <c r="B14" s="27" t="s">
        <v>1602</v>
      </c>
      <c r="C14" s="30">
        <f>+'FRS PL'!C27</f>
        <v>4452.851349999968</v>
      </c>
      <c r="D14" s="30">
        <f>+'FRS PL'!E27</f>
        <v>5497</v>
      </c>
      <c r="E14" s="30">
        <f>+'FRS PL'!G27</f>
        <v>24560.432299999957</v>
      </c>
      <c r="F14" s="30">
        <f>+'FRS PL'!I27</f>
        <v>25284</v>
      </c>
    </row>
    <row r="15" spans="1:6" ht="12.75">
      <c r="A15" s="29">
        <v>3</v>
      </c>
      <c r="B15" s="27" t="s">
        <v>1603</v>
      </c>
      <c r="C15" s="30">
        <f>+'FRS PL'!C31</f>
        <v>3713.851349999968</v>
      </c>
      <c r="D15" s="30">
        <f>+'FRS PL'!E31</f>
        <v>4575</v>
      </c>
      <c r="E15" s="30">
        <f>+'FRS PL'!G31</f>
        <v>21191.432299999957</v>
      </c>
      <c r="F15" s="30">
        <f>+'FRS PL'!I31</f>
        <v>20799</v>
      </c>
    </row>
    <row r="16" spans="1:6" ht="12.75">
      <c r="A16" s="29">
        <v>4</v>
      </c>
      <c r="B16" s="27" t="s">
        <v>1604</v>
      </c>
      <c r="C16" s="30">
        <f>+'FRS PL'!C31</f>
        <v>3713.851349999968</v>
      </c>
      <c r="D16" s="30">
        <f>+'FRS PL'!E31</f>
        <v>4575</v>
      </c>
      <c r="E16" s="30">
        <f>+'FRS PL'!G31</f>
        <v>21191.432299999957</v>
      </c>
      <c r="F16" s="30">
        <f>+'FRS PL'!I31</f>
        <v>20799</v>
      </c>
    </row>
    <row r="17" spans="1:6" ht="12.75">
      <c r="A17" s="29">
        <v>5</v>
      </c>
      <c r="B17" s="27" t="s">
        <v>1606</v>
      </c>
      <c r="C17" s="169">
        <f>+'FRS PL'!C42</f>
        <v>3.74</v>
      </c>
      <c r="D17" s="169">
        <f>+'FRS PL'!E42</f>
        <v>5.41</v>
      </c>
      <c r="E17" s="169">
        <f>+'FRS PL'!G42</f>
        <v>24.9</v>
      </c>
      <c r="F17" s="169">
        <f>+'FRS PL'!I42</f>
        <v>22.95</v>
      </c>
    </row>
    <row r="18" spans="1:6" ht="12.75">
      <c r="A18" s="29">
        <v>6</v>
      </c>
      <c r="B18" s="27" t="s">
        <v>1607</v>
      </c>
      <c r="C18" s="30">
        <v>0</v>
      </c>
      <c r="D18" s="30">
        <v>0</v>
      </c>
      <c r="E18" s="30">
        <v>0</v>
      </c>
      <c r="F18" s="30">
        <v>0</v>
      </c>
    </row>
    <row r="19" spans="1:6" ht="12.75">
      <c r="A19" s="29">
        <v>7</v>
      </c>
      <c r="B19" s="27" t="s">
        <v>1608</v>
      </c>
      <c r="C19" s="30">
        <v>0</v>
      </c>
      <c r="D19" s="30">
        <v>0</v>
      </c>
      <c r="E19" s="169">
        <f>+'FRS BS'!D56</f>
        <v>1.5846043761533537</v>
      </c>
      <c r="F19" s="169">
        <f>+'FRS BS'!F56</f>
        <v>1.3082372447057051</v>
      </c>
    </row>
    <row r="20" spans="1:6" ht="18.75" customHeight="1">
      <c r="A20" s="23" t="s">
        <v>1609</v>
      </c>
      <c r="B20" s="24"/>
      <c r="C20" s="24"/>
      <c r="D20" s="24"/>
      <c r="E20" s="24"/>
      <c r="F20" s="262"/>
    </row>
    <row r="21" spans="1:6" ht="12.75">
      <c r="A21" s="75"/>
      <c r="B21" s="61"/>
      <c r="C21" s="61"/>
      <c r="D21" s="61"/>
      <c r="E21" s="61"/>
      <c r="F21" s="76"/>
    </row>
    <row r="22" spans="1:6" ht="12.75">
      <c r="A22" s="75"/>
      <c r="B22" s="61"/>
      <c r="C22" s="61"/>
      <c r="D22" s="61"/>
      <c r="E22" s="61"/>
      <c r="F22" s="76"/>
    </row>
    <row r="23" spans="1:6" ht="12.75">
      <c r="A23" s="25"/>
      <c r="B23" s="26"/>
      <c r="C23" s="26"/>
      <c r="D23" s="26"/>
      <c r="E23" s="26"/>
      <c r="F23" s="263"/>
    </row>
    <row r="28" spans="1:6" ht="15.75">
      <c r="A28" s="1139" t="s">
        <v>1611</v>
      </c>
      <c r="B28" s="1140"/>
      <c r="C28" s="1140"/>
      <c r="D28" s="1140"/>
      <c r="E28" s="1140"/>
      <c r="F28" s="1141"/>
    </row>
    <row r="31" spans="1:6" ht="12.75">
      <c r="A31" s="23"/>
      <c r="B31" s="262"/>
      <c r="C31" s="1137" t="s">
        <v>740</v>
      </c>
      <c r="D31" s="1138"/>
      <c r="E31" s="1137" t="s">
        <v>741</v>
      </c>
      <c r="F31" s="1138"/>
    </row>
    <row r="32" spans="1:6" ht="12.75">
      <c r="A32" s="75"/>
      <c r="B32" s="76"/>
      <c r="C32" s="38" t="s">
        <v>1610</v>
      </c>
      <c r="D32" s="38" t="s">
        <v>1596</v>
      </c>
      <c r="E32" s="38" t="s">
        <v>1600</v>
      </c>
      <c r="F32" s="38" t="s">
        <v>1596</v>
      </c>
    </row>
    <row r="33" spans="1:6" ht="12.75">
      <c r="A33" s="75"/>
      <c r="B33" s="76"/>
      <c r="C33" s="261" t="s">
        <v>614</v>
      </c>
      <c r="D33" s="261" t="s">
        <v>1598</v>
      </c>
      <c r="E33" s="261" t="s">
        <v>1601</v>
      </c>
      <c r="F33" s="261" t="s">
        <v>1598</v>
      </c>
    </row>
    <row r="34" spans="1:6" ht="12.75">
      <c r="A34" s="75"/>
      <c r="B34" s="76"/>
      <c r="C34" s="261"/>
      <c r="D34" s="261" t="s">
        <v>614</v>
      </c>
      <c r="E34" s="261"/>
      <c r="F34" s="261" t="s">
        <v>1599</v>
      </c>
    </row>
    <row r="35" spans="1:6" ht="12.75">
      <c r="A35" s="75"/>
      <c r="B35" s="76"/>
      <c r="C35" s="316">
        <f>+C11</f>
        <v>39021</v>
      </c>
      <c r="D35" s="316">
        <f>+D11</f>
        <v>38656</v>
      </c>
      <c r="E35" s="316">
        <f>+E11</f>
        <v>39021</v>
      </c>
      <c r="F35" s="316">
        <f>+F11</f>
        <v>38656</v>
      </c>
    </row>
    <row r="36" spans="1:6" ht="12.75">
      <c r="A36" s="25"/>
      <c r="B36" s="263"/>
      <c r="C36" s="210" t="s">
        <v>521</v>
      </c>
      <c r="D36" s="210" t="s">
        <v>521</v>
      </c>
      <c r="E36" s="210" t="s">
        <v>521</v>
      </c>
      <c r="F36" s="210" t="s">
        <v>521</v>
      </c>
    </row>
    <row r="37" spans="1:6" ht="12.75">
      <c r="A37" s="29">
        <v>1</v>
      </c>
      <c r="B37" s="27" t="s">
        <v>1612</v>
      </c>
      <c r="C37" s="301">
        <f>ROUND('P&amp;L'!AA31+'P&amp;L'!W32,0)-1</f>
        <v>301</v>
      </c>
      <c r="D37" s="301">
        <v>54</v>
      </c>
      <c r="E37" s="265">
        <f>ROUND(+'P&amp;L'!Y31+'P&amp;L'!W32,0)-1</f>
        <v>751</v>
      </c>
      <c r="F37" s="301">
        <v>208</v>
      </c>
    </row>
    <row r="38" spans="1:6" ht="12.75">
      <c r="A38" s="29">
        <v>2</v>
      </c>
      <c r="B38" s="27" t="s">
        <v>1613</v>
      </c>
      <c r="C38" s="265">
        <f>-ROUND('Cond PL'!B19,0)</f>
        <v>252</v>
      </c>
      <c r="D38" s="265">
        <f>-ROUND('Cond PL'!D19,0)</f>
        <v>244</v>
      </c>
      <c r="E38" s="265">
        <f>-ROUND('Cond PL'!F19,0)</f>
        <v>1124</v>
      </c>
      <c r="F38" s="265">
        <f>-ROUND('Cond PL'!H19,0)</f>
        <v>1027</v>
      </c>
    </row>
  </sheetData>
  <mergeCells count="9">
    <mergeCell ref="C31:D31"/>
    <mergeCell ref="E31:F31"/>
    <mergeCell ref="A1:F1"/>
    <mergeCell ref="A28:F28"/>
    <mergeCell ref="C7:D7"/>
    <mergeCell ref="E7:F7"/>
    <mergeCell ref="A3:F3"/>
    <mergeCell ref="A4:F4"/>
    <mergeCell ref="A5:F5"/>
  </mergeCells>
  <printOptions/>
  <pageMargins left="0.75" right="0.75" top="1" bottom="1" header="0.5" footer="0.5"/>
  <pageSetup horizontalDpi="300" verticalDpi="300" orientation="portrait" paperSize="9" r:id="rId1"/>
  <headerFooter alignWithMargins="0">
    <oddHeader>&amp;R&amp;D  &amp;T</oddHeader>
  </headerFooter>
</worksheet>
</file>

<file path=xl/worksheets/sheet41.xml><?xml version="1.0" encoding="utf-8"?>
<worksheet xmlns="http://schemas.openxmlformats.org/spreadsheetml/2006/main" xmlns:r="http://schemas.openxmlformats.org/officeDocument/2006/relationships">
  <dimension ref="A2:N119"/>
  <sheetViews>
    <sheetView workbookViewId="0" topLeftCell="A87">
      <selection activeCell="B96" sqref="B96"/>
    </sheetView>
  </sheetViews>
  <sheetFormatPr defaultColWidth="9.140625" defaultRowHeight="12.75"/>
  <cols>
    <col min="1" max="1" width="4.7109375" style="2" customWidth="1"/>
    <col min="2" max="2" width="33.7109375" style="2" customWidth="1"/>
    <col min="3" max="3" width="17.8515625" style="2" customWidth="1"/>
    <col min="4" max="4" width="2.7109375" style="2" customWidth="1"/>
    <col min="5" max="5" width="17.7109375" style="2" customWidth="1"/>
    <col min="6" max="6" width="2.7109375" style="2" customWidth="1"/>
    <col min="7" max="7" width="13.140625" style="2" customWidth="1"/>
    <col min="8" max="10" width="8.8515625" style="2" customWidth="1"/>
    <col min="11" max="11" width="3.7109375" style="2" customWidth="1"/>
    <col min="12" max="12" width="6.00390625" style="2" bestFit="1" customWidth="1"/>
    <col min="13" max="13" width="6.7109375" style="2" customWidth="1"/>
    <col min="14" max="16384" width="8.8515625" style="2" customWidth="1"/>
  </cols>
  <sheetData>
    <row r="2" ht="12.75">
      <c r="B2" s="19" t="s">
        <v>824</v>
      </c>
    </row>
    <row r="4" spans="1:2" ht="12.75">
      <c r="A4" s="2">
        <v>1</v>
      </c>
      <c r="B4" s="19" t="s">
        <v>825</v>
      </c>
    </row>
    <row r="5" spans="1:2" ht="12.75">
      <c r="A5" s="14"/>
      <c r="B5" s="20" t="s">
        <v>965</v>
      </c>
    </row>
    <row r="6" spans="1:2" ht="12.75">
      <c r="A6" s="14"/>
      <c r="B6" s="20" t="s">
        <v>1233</v>
      </c>
    </row>
    <row r="7" spans="1:2" ht="12.75">
      <c r="A7" s="14"/>
      <c r="B7" s="21"/>
    </row>
    <row r="8" spans="1:2" ht="12.75">
      <c r="A8" s="2">
        <v>2</v>
      </c>
      <c r="B8" s="19" t="s">
        <v>826</v>
      </c>
    </row>
    <row r="9" ht="12.75">
      <c r="B9" s="2" t="s">
        <v>827</v>
      </c>
    </row>
    <row r="11" spans="1:2" ht="12.75">
      <c r="A11" s="2">
        <v>3</v>
      </c>
      <c r="B11" s="19" t="s">
        <v>828</v>
      </c>
    </row>
    <row r="12" ht="12.75">
      <c r="B12" s="2" t="s">
        <v>827</v>
      </c>
    </row>
    <row r="14" spans="1:2" ht="12.75">
      <c r="A14" s="2">
        <v>4</v>
      </c>
      <c r="B14" s="19" t="s">
        <v>829</v>
      </c>
    </row>
    <row r="15" ht="12.75">
      <c r="B15" s="2" t="s">
        <v>831</v>
      </c>
    </row>
    <row r="16" ht="12.75">
      <c r="B16" s="2" t="s">
        <v>1183</v>
      </c>
    </row>
    <row r="17" ht="12.75">
      <c r="C17" s="69" t="s">
        <v>521</v>
      </c>
    </row>
    <row r="18" spans="2:3" ht="12.75">
      <c r="B18" s="2" t="s">
        <v>829</v>
      </c>
      <c r="C18" s="16">
        <f>-'P&amp;L'!U76-'P&amp;L'!X77</f>
        <v>3726.131</v>
      </c>
    </row>
    <row r="19" spans="2:3" ht="12.75">
      <c r="B19" s="2" t="s">
        <v>349</v>
      </c>
      <c r="C19" s="16">
        <f>-'P&amp;L'!X76</f>
        <v>-33.6</v>
      </c>
    </row>
    <row r="20" ht="12.75">
      <c r="C20" s="173">
        <f>SUM(C18:C19)</f>
        <v>3692.531</v>
      </c>
    </row>
    <row r="21" ht="12.75" hidden="1">
      <c r="C21" s="160">
        <f>+'P&amp;L'!Y76</f>
        <v>-3368.596</v>
      </c>
    </row>
    <row r="22" ht="12.75">
      <c r="B22" s="2" t="s">
        <v>832</v>
      </c>
    </row>
    <row r="23" spans="1:2" ht="12.75">
      <c r="A23" s="2">
        <v>5</v>
      </c>
      <c r="B23" s="19" t="s">
        <v>833</v>
      </c>
    </row>
    <row r="24" ht="12.75">
      <c r="B24" s="2" t="s">
        <v>834</v>
      </c>
    </row>
    <row r="26" spans="1:2" ht="12.75">
      <c r="A26" s="2">
        <v>6</v>
      </c>
      <c r="B26" s="19" t="s">
        <v>835</v>
      </c>
    </row>
    <row r="27" ht="12.75">
      <c r="B27" s="2" t="s">
        <v>836</v>
      </c>
    </row>
    <row r="29" ht="12.75">
      <c r="B29" s="2" t="s">
        <v>839</v>
      </c>
    </row>
    <row r="31" ht="12.75">
      <c r="B31" s="2" t="s">
        <v>1250</v>
      </c>
    </row>
    <row r="33" spans="2:13" ht="12.75">
      <c r="B33" s="23" t="s">
        <v>840</v>
      </c>
      <c r="C33" s="24"/>
      <c r="D33" s="24"/>
      <c r="E33" s="29" t="s">
        <v>521</v>
      </c>
      <c r="L33" s="9" t="s">
        <v>1080</v>
      </c>
      <c r="M33" s="9" t="s">
        <v>1081</v>
      </c>
    </row>
    <row r="34" spans="2:13" ht="12.75">
      <c r="B34" s="27" t="s">
        <v>841</v>
      </c>
      <c r="C34" s="28"/>
      <c r="D34" s="28"/>
      <c r="E34" s="163">
        <f>2498.41+2070</f>
        <v>4568.41</v>
      </c>
      <c r="J34" s="2" t="s">
        <v>1082</v>
      </c>
      <c r="L34" s="2">
        <v>5000</v>
      </c>
      <c r="M34" s="2">
        <v>564</v>
      </c>
    </row>
    <row r="35" spans="2:13" ht="12.75">
      <c r="B35" s="25" t="s">
        <v>847</v>
      </c>
      <c r="C35" s="26"/>
      <c r="D35" s="26"/>
      <c r="E35" s="164">
        <f>E34</f>
        <v>4568.41</v>
      </c>
      <c r="J35" s="2" t="s">
        <v>1083</v>
      </c>
      <c r="L35" s="174">
        <v>1.16</v>
      </c>
      <c r="M35" s="174">
        <v>0.67</v>
      </c>
    </row>
    <row r="36" spans="2:13" ht="12.75">
      <c r="B36" s="25" t="s">
        <v>1251</v>
      </c>
      <c r="C36" s="26"/>
      <c r="D36" s="26"/>
      <c r="E36" s="163">
        <f>+L36+M36</f>
        <v>6177.88</v>
      </c>
      <c r="J36" s="2" t="s">
        <v>1086</v>
      </c>
      <c r="L36" s="2">
        <f>+L34*L35</f>
        <v>5800</v>
      </c>
      <c r="M36" s="2">
        <f>+M34*M35</f>
        <v>377.88</v>
      </c>
    </row>
    <row r="38" spans="1:2" ht="12.75">
      <c r="A38" s="2">
        <v>7</v>
      </c>
      <c r="B38" s="19" t="s">
        <v>848</v>
      </c>
    </row>
    <row r="39" ht="12.75">
      <c r="B39" s="2" t="s">
        <v>827</v>
      </c>
    </row>
    <row r="41" spans="1:2" ht="12.75">
      <c r="A41" s="2">
        <v>8</v>
      </c>
      <c r="B41" s="19" t="s">
        <v>849</v>
      </c>
    </row>
    <row r="42" ht="12.75">
      <c r="B42" s="15" t="s">
        <v>850</v>
      </c>
    </row>
    <row r="44" spans="1:2" ht="12.75">
      <c r="A44" s="2">
        <v>9</v>
      </c>
      <c r="B44" s="19" t="s">
        <v>857</v>
      </c>
    </row>
    <row r="45" ht="12.75">
      <c r="B45" s="2" t="s">
        <v>834</v>
      </c>
    </row>
    <row r="47" spans="1:2" ht="12.75">
      <c r="A47" s="2">
        <v>10</v>
      </c>
      <c r="B47" s="19" t="s">
        <v>1252</v>
      </c>
    </row>
    <row r="49" spans="2:5" ht="12.75">
      <c r="B49" s="32"/>
      <c r="C49" s="29" t="s">
        <v>858</v>
      </c>
      <c r="D49" s="9"/>
      <c r="E49" s="38" t="s">
        <v>859</v>
      </c>
    </row>
    <row r="50" spans="2:5" ht="12.75">
      <c r="B50" s="33"/>
      <c r="C50" s="41" t="s">
        <v>521</v>
      </c>
      <c r="D50" s="9"/>
      <c r="E50" s="38" t="s">
        <v>521</v>
      </c>
    </row>
    <row r="51" spans="2:5" ht="12.75">
      <c r="B51" s="33" t="s">
        <v>860</v>
      </c>
      <c r="C51" s="36">
        <f>ROUND('B. Sheet'!Z54+'B. Sheet'!Z55,0)</f>
        <v>3140</v>
      </c>
      <c r="E51" s="39">
        <v>0</v>
      </c>
    </row>
    <row r="52" spans="2:5" ht="12.75">
      <c r="B52" s="33"/>
      <c r="C52" s="36"/>
      <c r="E52" s="39"/>
    </row>
    <row r="53" spans="2:5" ht="12.75" hidden="1">
      <c r="B53" s="33" t="s">
        <v>1130</v>
      </c>
      <c r="C53" s="36"/>
      <c r="E53" s="39">
        <v>0</v>
      </c>
    </row>
    <row r="54" spans="2:5" ht="12.75" hidden="1">
      <c r="B54" s="33"/>
      <c r="C54" s="36"/>
      <c r="E54" s="39"/>
    </row>
    <row r="55" spans="2:5" ht="12.75">
      <c r="B55" s="33" t="s">
        <v>1180</v>
      </c>
      <c r="C55" s="36">
        <f>ROUND(+'B. Sheet'!Z88,0)</f>
        <v>7342</v>
      </c>
      <c r="E55" s="35">
        <v>0</v>
      </c>
    </row>
    <row r="56" spans="2:5" ht="12.75">
      <c r="B56" s="33"/>
      <c r="C56" s="37"/>
      <c r="E56" s="39"/>
    </row>
    <row r="57" spans="2:5" ht="12.75">
      <c r="B57" s="34" t="s">
        <v>329</v>
      </c>
      <c r="C57" s="7">
        <f>SUM(C51:C55)</f>
        <v>10482</v>
      </c>
      <c r="E57" s="35">
        <v>0</v>
      </c>
    </row>
    <row r="59" spans="1:2" ht="12.75">
      <c r="A59" s="2">
        <v>11</v>
      </c>
      <c r="B59" s="19" t="s">
        <v>861</v>
      </c>
    </row>
    <row r="60" ht="12.75">
      <c r="E60" s="69" t="s">
        <v>972</v>
      </c>
    </row>
    <row r="61" ht="12.75">
      <c r="E61" s="69" t="s">
        <v>521</v>
      </c>
    </row>
    <row r="62" spans="2:5" ht="12.75">
      <c r="B62" s="2" t="s">
        <v>971</v>
      </c>
      <c r="E62" s="16">
        <v>39451</v>
      </c>
    </row>
    <row r="63" ht="12.75">
      <c r="B63" s="2" t="s">
        <v>973</v>
      </c>
    </row>
    <row r="65" spans="1:2" ht="12.75">
      <c r="A65" s="2">
        <v>12</v>
      </c>
      <c r="B65" s="19" t="s">
        <v>862</v>
      </c>
    </row>
    <row r="66" ht="12.75">
      <c r="B66" s="2" t="s">
        <v>834</v>
      </c>
    </row>
    <row r="68" spans="1:2" ht="12.75">
      <c r="A68" s="2">
        <v>13</v>
      </c>
      <c r="B68" s="19" t="s">
        <v>863</v>
      </c>
    </row>
    <row r="69" ht="12.75">
      <c r="B69" s="15" t="s">
        <v>864</v>
      </c>
    </row>
    <row r="71" spans="1:2" ht="12.75">
      <c r="A71" s="2">
        <v>14</v>
      </c>
      <c r="B71" s="19" t="s">
        <v>865</v>
      </c>
    </row>
    <row r="72" spans="5:14" ht="12.75">
      <c r="E72" s="9" t="s">
        <v>867</v>
      </c>
      <c r="J72" s="61"/>
      <c r="K72" s="61"/>
      <c r="L72" s="165"/>
      <c r="M72" s="61"/>
      <c r="N72" s="61"/>
    </row>
    <row r="73" spans="2:14" ht="12.75">
      <c r="B73" s="2" t="s">
        <v>868</v>
      </c>
      <c r="C73" s="1144" t="s">
        <v>1253</v>
      </c>
      <c r="D73" s="1144"/>
      <c r="E73" s="1144"/>
      <c r="F73" s="1144"/>
      <c r="G73" s="1144"/>
      <c r="J73" s="1145"/>
      <c r="K73" s="1145"/>
      <c r="L73" s="1145"/>
      <c r="M73" s="1145"/>
      <c r="N73" s="1145"/>
    </row>
    <row r="74" spans="2:14" ht="12.75">
      <c r="B74" s="2" t="s">
        <v>869</v>
      </c>
      <c r="C74" s="9" t="s">
        <v>893</v>
      </c>
      <c r="E74" s="9" t="s">
        <v>870</v>
      </c>
      <c r="G74" s="9" t="s">
        <v>871</v>
      </c>
      <c r="J74" s="165"/>
      <c r="K74" s="61"/>
      <c r="L74" s="165"/>
      <c r="M74" s="61"/>
      <c r="N74" s="165"/>
    </row>
    <row r="75" spans="3:14" ht="12.75">
      <c r="C75" s="9" t="s">
        <v>521</v>
      </c>
      <c r="E75" s="9" t="s">
        <v>521</v>
      </c>
      <c r="G75" s="9" t="s">
        <v>521</v>
      </c>
      <c r="J75" s="165"/>
      <c r="K75" s="61"/>
      <c r="L75" s="165"/>
      <c r="M75" s="61"/>
      <c r="N75" s="165"/>
    </row>
    <row r="76" spans="3:14" ht="12.75">
      <c r="C76" s="9"/>
      <c r="E76" s="9"/>
      <c r="G76" s="9"/>
      <c r="J76" s="165"/>
      <c r="K76" s="61"/>
      <c r="L76" s="165"/>
      <c r="M76" s="61"/>
      <c r="N76" s="165"/>
    </row>
    <row r="77" spans="2:14" ht="12.75">
      <c r="B77" s="2" t="s">
        <v>612</v>
      </c>
      <c r="C77" s="3">
        <f>+'seg Apr'!E24</f>
        <v>36.75199999999995</v>
      </c>
      <c r="E77" s="3">
        <f>+'seg Apr'!J24</f>
        <v>-1206.539</v>
      </c>
      <c r="F77" s="3"/>
      <c r="G77" s="3">
        <f>+'seg Apr'!O24</f>
        <v>241.23200000000003</v>
      </c>
      <c r="J77" s="45"/>
      <c r="K77" s="61"/>
      <c r="L77" s="45"/>
      <c r="M77" s="45"/>
      <c r="N77" s="45"/>
    </row>
    <row r="78" spans="2:14" ht="12.75">
      <c r="B78" s="2" t="s">
        <v>613</v>
      </c>
      <c r="C78" s="3">
        <f>+'seg Apr'!E36</f>
        <v>0</v>
      </c>
      <c r="E78" s="3">
        <f>+'seg Apr'!J36</f>
        <v>12.360999999999997</v>
      </c>
      <c r="F78" s="3"/>
      <c r="G78" s="3">
        <f>+'seg Apr'!O36</f>
        <v>1938.645</v>
      </c>
      <c r="J78" s="45"/>
      <c r="K78" s="61"/>
      <c r="L78" s="45"/>
      <c r="M78" s="45"/>
      <c r="N78" s="45"/>
    </row>
    <row r="79" spans="2:14" ht="12.75">
      <c r="B79" s="2" t="s">
        <v>872</v>
      </c>
      <c r="C79" s="3">
        <f>+'seg Apr'!E50</f>
        <v>0</v>
      </c>
      <c r="E79" s="4">
        <f>+'seg Apr'!J50</f>
        <v>0</v>
      </c>
      <c r="F79" s="3"/>
      <c r="G79" s="4">
        <f>+'seg Apr'!O50</f>
        <v>0</v>
      </c>
      <c r="J79" s="45"/>
      <c r="K79" s="61"/>
      <c r="L79" s="45"/>
      <c r="M79" s="45"/>
      <c r="N79" s="45"/>
    </row>
    <row r="80" spans="3:14" ht="12.75">
      <c r="C80" s="87">
        <f>Announcement!$C$14</f>
        <v>48944</v>
      </c>
      <c r="E80" s="3">
        <f>SUM(E77:E79)</f>
        <v>-1194.1779999999999</v>
      </c>
      <c r="G80" s="22">
        <f>SUM(G77:G79)</f>
        <v>2179.877</v>
      </c>
      <c r="J80" s="45"/>
      <c r="K80" s="61"/>
      <c r="L80" s="45"/>
      <c r="M80" s="61"/>
      <c r="N80" s="45"/>
    </row>
    <row r="81" spans="2:14" ht="12.75" customHeight="1" hidden="1">
      <c r="B81" s="22"/>
      <c r="C81" s="161">
        <f>SUM(C77:C79)</f>
        <v>36.75199999999995</v>
      </c>
      <c r="E81" s="3"/>
      <c r="G81" s="22"/>
      <c r="J81" s="161"/>
      <c r="K81" s="61"/>
      <c r="L81" s="45"/>
      <c r="M81" s="61"/>
      <c r="N81" s="175"/>
    </row>
    <row r="82" spans="3:14" ht="12.75">
      <c r="C82" s="160"/>
      <c r="J82" s="176"/>
      <c r="K82" s="61"/>
      <c r="L82" s="61"/>
      <c r="M82" s="61"/>
      <c r="N82" s="61"/>
    </row>
    <row r="83" spans="2:14" ht="12.75">
      <c r="B83" s="2" t="s">
        <v>873</v>
      </c>
      <c r="C83" s="4">
        <f>+'seg Apr'!E54</f>
        <v>0</v>
      </c>
      <c r="E83" s="4">
        <f>+'seg Apr'!J54</f>
        <v>-192.455</v>
      </c>
      <c r="G83" s="4">
        <f>+'seg Apr'!O54</f>
        <v>2034.7939999999999</v>
      </c>
      <c r="J83" s="63"/>
      <c r="K83" s="61"/>
      <c r="L83" s="45"/>
      <c r="M83" s="61"/>
      <c r="N83" s="45"/>
    </row>
    <row r="84" spans="3:14" ht="13.5" thickBot="1">
      <c r="C84" s="40">
        <f>+C80+C83</f>
        <v>48944</v>
      </c>
      <c r="E84" s="40">
        <f>+E80+E83</f>
        <v>-1386.6329999999998</v>
      </c>
      <c r="G84" s="40">
        <f>+G80+G83</f>
        <v>4214.671</v>
      </c>
      <c r="J84" s="175"/>
      <c r="K84" s="61"/>
      <c r="L84" s="175"/>
      <c r="M84" s="61"/>
      <c r="N84" s="175"/>
    </row>
    <row r="85" ht="13.5" thickTop="1"/>
    <row r="86" ht="12.75">
      <c r="E86" s="9" t="s">
        <v>874</v>
      </c>
    </row>
    <row r="87" spans="2:7" ht="12.75">
      <c r="B87" s="2" t="s">
        <v>868</v>
      </c>
      <c r="C87" s="1144" t="s">
        <v>1254</v>
      </c>
      <c r="D87" s="1144"/>
      <c r="E87" s="1144"/>
      <c r="F87" s="1144"/>
      <c r="G87" s="1144"/>
    </row>
    <row r="88" spans="2:7" ht="12.75">
      <c r="B88" s="2" t="s">
        <v>869</v>
      </c>
      <c r="C88" s="9" t="s">
        <v>893</v>
      </c>
      <c r="E88" s="9" t="s">
        <v>870</v>
      </c>
      <c r="G88" s="9" t="s">
        <v>871</v>
      </c>
    </row>
    <row r="89" spans="3:7" ht="12.75">
      <c r="C89" s="9" t="s">
        <v>521</v>
      </c>
      <c r="E89" s="9" t="s">
        <v>521</v>
      </c>
      <c r="G89" s="9" t="s">
        <v>521</v>
      </c>
    </row>
    <row r="90" spans="3:7" ht="12.75">
      <c r="C90" s="9"/>
      <c r="E90" s="9"/>
      <c r="G90" s="9"/>
    </row>
    <row r="91" spans="2:7" ht="12.75">
      <c r="B91" s="2" t="s">
        <v>612</v>
      </c>
      <c r="C91" s="3">
        <f>+segYTD!$E$28</f>
        <v>213503.6467</v>
      </c>
      <c r="E91" s="3">
        <f>+segYTD!$J$28</f>
        <v>20299.044</v>
      </c>
      <c r="G91" s="3">
        <f>+segYTD!$O$28</f>
        <v>152970.24399999998</v>
      </c>
    </row>
    <row r="92" spans="2:7" ht="12.75">
      <c r="B92" s="2" t="s">
        <v>613</v>
      </c>
      <c r="C92" s="22">
        <f>+segYTD!$E$46</f>
        <v>1056.506</v>
      </c>
      <c r="E92" s="3">
        <f>+segYTD!$J$46</f>
        <v>1264.1440000000002</v>
      </c>
      <c r="G92" s="22">
        <f>+segYTD!$O$46</f>
        <v>10891.968</v>
      </c>
    </row>
    <row r="93" spans="2:7" ht="12.75">
      <c r="B93" s="2" t="s">
        <v>872</v>
      </c>
      <c r="C93" s="159">
        <f>+segYTD!$E$63</f>
        <v>1166.01</v>
      </c>
      <c r="E93" s="4">
        <f>+segYTD!$J$63</f>
        <v>1716.6402</v>
      </c>
      <c r="G93" s="4">
        <f>+segYTD!$O$63</f>
        <v>6157.73468999999</v>
      </c>
    </row>
    <row r="94" spans="3:7" ht="12.75">
      <c r="C94" s="3">
        <f>SUM(C91:C93)</f>
        <v>215726.16270000002</v>
      </c>
      <c r="E94" s="3">
        <f>SUM(E91:E93)</f>
        <v>23279.828200000004</v>
      </c>
      <c r="G94" s="22">
        <f>SUM(G91:G93)</f>
        <v>170019.94668999995</v>
      </c>
    </row>
    <row r="95" ht="12.75">
      <c r="C95" s="18"/>
    </row>
    <row r="96" spans="2:9" ht="12.75">
      <c r="B96" s="2" t="s">
        <v>873</v>
      </c>
      <c r="C96" s="31">
        <v>0</v>
      </c>
      <c r="E96" s="4">
        <f>+segYTD!$J$67</f>
        <v>1280.2894999999999</v>
      </c>
      <c r="G96" s="4">
        <f>+segYTD!$O$67</f>
        <v>9126.518699999999</v>
      </c>
      <c r="I96" s="22"/>
    </row>
    <row r="97" spans="3:7" ht="13.5" thickBot="1">
      <c r="C97" s="40">
        <f>+C94+C96</f>
        <v>215726.16270000002</v>
      </c>
      <c r="E97" s="40">
        <f>+E94+E96</f>
        <v>24560.117700000003</v>
      </c>
      <c r="G97" s="40">
        <f>+G94+G96</f>
        <v>179146.46538999994</v>
      </c>
    </row>
    <row r="98" ht="13.5" thickTop="1"/>
    <row r="100" spans="1:2" ht="12.75">
      <c r="A100" s="2">
        <v>15</v>
      </c>
      <c r="B100" s="19" t="s">
        <v>877</v>
      </c>
    </row>
    <row r="101" ht="12.75">
      <c r="B101" s="2" t="s">
        <v>878</v>
      </c>
    </row>
    <row r="103" spans="1:2" ht="12.75">
      <c r="A103" s="2">
        <v>16</v>
      </c>
      <c r="B103" s="19" t="s">
        <v>879</v>
      </c>
    </row>
    <row r="104" ht="12.75">
      <c r="B104" s="15" t="s">
        <v>880</v>
      </c>
    </row>
    <row r="106" spans="1:2" ht="12.75">
      <c r="A106" s="2">
        <v>17</v>
      </c>
      <c r="B106" s="19" t="s">
        <v>1184</v>
      </c>
    </row>
    <row r="107" ht="12.75">
      <c r="B107" s="2" t="s">
        <v>1185</v>
      </c>
    </row>
    <row r="109" spans="1:2" ht="12.75">
      <c r="A109" s="2">
        <v>18</v>
      </c>
      <c r="B109" s="19" t="s">
        <v>851</v>
      </c>
    </row>
    <row r="110" ht="12.75">
      <c r="B110" s="2" t="s">
        <v>856</v>
      </c>
    </row>
    <row r="112" spans="1:2" ht="12.75">
      <c r="A112" s="2">
        <v>19</v>
      </c>
      <c r="B112" s="19" t="s">
        <v>881</v>
      </c>
    </row>
    <row r="113" ht="12.75">
      <c r="B113" s="15" t="s">
        <v>880</v>
      </c>
    </row>
    <row r="115" spans="1:2" ht="12.75">
      <c r="A115" s="2">
        <v>20</v>
      </c>
      <c r="B115" s="19" t="s">
        <v>882</v>
      </c>
    </row>
    <row r="116" ht="12.75">
      <c r="B116" s="2" t="s">
        <v>878</v>
      </c>
    </row>
    <row r="118" spans="1:2" ht="12.75">
      <c r="A118" s="2">
        <v>21</v>
      </c>
      <c r="B118" s="19" t="s">
        <v>883</v>
      </c>
    </row>
    <row r="119" ht="12.75">
      <c r="B119" s="2" t="s">
        <v>884</v>
      </c>
    </row>
  </sheetData>
  <mergeCells count="3">
    <mergeCell ref="C73:G73"/>
    <mergeCell ref="C87:G87"/>
    <mergeCell ref="J73:N73"/>
  </mergeCells>
  <printOptions/>
  <pageMargins left="0.36" right="0.26" top="0.2" bottom="0.19" header="0.2" footer="0.19"/>
  <pageSetup horizontalDpi="300" verticalDpi="300" orientation="portrait" r:id="rId1"/>
  <headerFooter alignWithMargins="0">
    <oddHeader>&amp;R&amp;D  &amp;T</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44"/>
  <sheetViews>
    <sheetView workbookViewId="0" topLeftCell="A10">
      <selection activeCell="B15" sqref="B15"/>
    </sheetView>
  </sheetViews>
  <sheetFormatPr defaultColWidth="9.140625" defaultRowHeight="12.75"/>
  <cols>
    <col min="1" max="1" width="30.57421875" style="2" customWidth="1"/>
    <col min="2" max="2" width="10.8515625" style="2" bestFit="1" customWidth="1"/>
    <col min="3" max="3" width="2.7109375" style="2" customWidth="1"/>
    <col min="4" max="4" width="10.8515625" style="2" bestFit="1" customWidth="1"/>
    <col min="5" max="5" width="3.140625" style="2" customWidth="1"/>
    <col min="6" max="6" width="10.8515625" style="2" bestFit="1" customWidth="1"/>
    <col min="7" max="7" width="2.7109375" style="2" customWidth="1"/>
    <col min="8" max="8" width="10.140625" style="2" customWidth="1"/>
    <col min="9" max="16384" width="8.8515625" style="2" customWidth="1"/>
  </cols>
  <sheetData>
    <row r="1" ht="18.75">
      <c r="A1" s="213" t="s">
        <v>1617</v>
      </c>
    </row>
    <row r="2" ht="12.75"/>
    <row r="3" ht="15.75">
      <c r="A3" s="212" t="s">
        <v>1472</v>
      </c>
    </row>
    <row r="4" ht="15.75">
      <c r="A4" s="212" t="s">
        <v>117</v>
      </c>
    </row>
    <row r="5" ht="12.75"/>
    <row r="6" ht="12.75"/>
    <row r="7" spans="2:8" ht="12.75">
      <c r="B7" s="1122" t="s">
        <v>118</v>
      </c>
      <c r="C7" s="1123"/>
      <c r="D7" s="1124"/>
      <c r="F7" s="1122" t="s">
        <v>119</v>
      </c>
      <c r="G7" s="1123"/>
      <c r="H7" s="1124"/>
    </row>
    <row r="8" spans="2:8" ht="12.75">
      <c r="B8" s="195">
        <v>2007</v>
      </c>
      <c r="C8" s="9"/>
      <c r="D8" s="195">
        <v>2006</v>
      </c>
      <c r="F8" s="195">
        <v>2007</v>
      </c>
      <c r="G8" s="9"/>
      <c r="H8" s="195">
        <v>2006</v>
      </c>
    </row>
    <row r="9" spans="2:8" ht="12.75">
      <c r="B9" s="196" t="s">
        <v>521</v>
      </c>
      <c r="D9" s="196" t="s">
        <v>521</v>
      </c>
      <c r="F9" s="197" t="s">
        <v>521</v>
      </c>
      <c r="H9" s="197" t="s">
        <v>521</v>
      </c>
    </row>
    <row r="10" ht="12.75"/>
    <row r="11" spans="1:8" ht="12.75">
      <c r="A11" s="60" t="s">
        <v>1318</v>
      </c>
      <c r="B11" s="37">
        <f>ROUND('P&amp;L'!AA9,0)</f>
        <v>48944</v>
      </c>
      <c r="C11" s="3"/>
      <c r="D11" s="37">
        <v>51991</v>
      </c>
      <c r="E11" s="3"/>
      <c r="F11" s="37">
        <f>ROUND('P&amp;L'!Y9,0)</f>
        <v>215726</v>
      </c>
      <c r="G11" s="3"/>
      <c r="H11" s="298">
        <v>211228</v>
      </c>
    </row>
    <row r="12" spans="2:8" ht="12.75">
      <c r="B12" s="8"/>
      <c r="C12" s="3"/>
      <c r="D12" s="8"/>
      <c r="E12" s="3"/>
      <c r="F12" s="8"/>
      <c r="G12" s="3"/>
      <c r="H12" s="299"/>
    </row>
    <row r="13" spans="1:8" ht="12.75">
      <c r="A13" s="2" t="s">
        <v>1319</v>
      </c>
      <c r="B13" s="8">
        <f>ROUND('P&amp;L'!AA13+'P&amp;L'!AA14+1+'P&amp;L'!AA15+'P&amp;L'!AA16+'P&amp;L'!AA30-'P&amp;L'!AA44-'P&amp;L'!AA53-'P&amp;L'!AA54-'P&amp;L'!AA55-'P&amp;L'!AA58+'P&amp;L'!AA60+'P&amp;L'!AA72-2,0)</f>
        <v>-45467</v>
      </c>
      <c r="C13" s="3"/>
      <c r="D13" s="8">
        <v>-45858</v>
      </c>
      <c r="E13" s="3"/>
      <c r="F13" s="8">
        <f>ROUND('P&amp;L'!Y13+'P&amp;L'!Y14+1+'P&amp;L'!Y15+'P&amp;L'!Y16+'P&amp;L'!Y30-'P&amp;L'!Y44-'P&amp;L'!Y53-'P&amp;L'!Y54-'P&amp;L'!Y55-'P&amp;L'!Y58+'P&amp;L'!Y72+'P&amp;L'!Y60+1,0)</f>
        <v>-194562</v>
      </c>
      <c r="G13" s="3"/>
      <c r="H13" s="299">
        <v>-187677</v>
      </c>
    </row>
    <row r="14" spans="2:8" ht="12.75">
      <c r="B14" s="8"/>
      <c r="C14" s="3"/>
      <c r="D14" s="8"/>
      <c r="E14" s="3"/>
      <c r="F14" s="8"/>
      <c r="G14" s="3"/>
      <c r="H14" s="299"/>
    </row>
    <row r="15" spans="1:8" ht="12.75">
      <c r="A15" s="2" t="s">
        <v>1355</v>
      </c>
      <c r="B15" s="8">
        <f>ROUND('P&amp;L'!AA33-'P&amp;L'!AA30,0)</f>
        <v>776</v>
      </c>
      <c r="C15" s="3"/>
      <c r="D15" s="8">
        <v>-679</v>
      </c>
      <c r="E15" s="3"/>
      <c r="F15" s="8">
        <f>ROUND('P&amp;L'!Y33-'P&amp;L'!Y30,0)</f>
        <v>3242</v>
      </c>
      <c r="G15" s="3"/>
      <c r="H15" s="299">
        <v>1137</v>
      </c>
    </row>
    <row r="16" spans="2:8" ht="12.75">
      <c r="B16" s="8"/>
      <c r="C16" s="3"/>
      <c r="D16" s="8"/>
      <c r="E16" s="3"/>
      <c r="F16" s="7"/>
      <c r="G16" s="3"/>
      <c r="H16" s="7"/>
    </row>
    <row r="17" spans="1:8" ht="12.75">
      <c r="A17" s="60" t="s">
        <v>1614</v>
      </c>
      <c r="B17" s="30">
        <f>SUM(B11:B15)</f>
        <v>4253</v>
      </c>
      <c r="C17" s="3"/>
      <c r="D17" s="30">
        <f>SUM(D11:D15)</f>
        <v>5454</v>
      </c>
      <c r="E17" s="3"/>
      <c r="F17" s="30">
        <f>SUM(F11:F15)</f>
        <v>24406</v>
      </c>
      <c r="G17" s="3"/>
      <c r="H17" s="30">
        <f>SUM(H11:H15)</f>
        <v>24688</v>
      </c>
    </row>
    <row r="18" spans="2:8" ht="12.75">
      <c r="B18" s="37"/>
      <c r="C18" s="3"/>
      <c r="D18" s="37"/>
      <c r="E18" s="3"/>
      <c r="F18" s="37"/>
      <c r="G18" s="3"/>
      <c r="H18" s="37"/>
    </row>
    <row r="19" spans="1:8" ht="12.75">
      <c r="A19" s="2" t="s">
        <v>1356</v>
      </c>
      <c r="B19" s="8">
        <f>ROUND(-'P&amp;L'!AA48-'P&amp;L'!AA49-'P&amp;L'!AA50,0)</f>
        <v>-252</v>
      </c>
      <c r="C19" s="3"/>
      <c r="D19" s="8">
        <v>-244</v>
      </c>
      <c r="E19" s="3"/>
      <c r="F19" s="8">
        <f>ROUND(-'P&amp;L'!Y48-'P&amp;L'!Y49-'P&amp;L'!Y50,0)</f>
        <v>-1124</v>
      </c>
      <c r="G19" s="3"/>
      <c r="H19" s="299">
        <v>-1027</v>
      </c>
    </row>
    <row r="20" spans="2:8" ht="12.75">
      <c r="B20" s="8"/>
      <c r="C20" s="3"/>
      <c r="D20" s="8"/>
      <c r="E20" s="3"/>
      <c r="F20" s="8"/>
      <c r="G20" s="3"/>
      <c r="H20" s="299"/>
    </row>
    <row r="21" spans="1:8" ht="12.75">
      <c r="A21" s="2" t="s">
        <v>1371</v>
      </c>
      <c r="B21" s="8">
        <f>ROUND('P&amp;L'!AA61,0)</f>
        <v>451</v>
      </c>
      <c r="C21" s="3"/>
      <c r="D21" s="8">
        <v>287</v>
      </c>
      <c r="E21" s="3"/>
      <c r="F21" s="8">
        <f>ROUND('P&amp;L'!Y61,0)</f>
        <v>1280</v>
      </c>
      <c r="G21" s="3"/>
      <c r="H21" s="299">
        <v>1623</v>
      </c>
    </row>
    <row r="22" spans="2:8" ht="12.75">
      <c r="B22" s="8"/>
      <c r="C22" s="3"/>
      <c r="D22" s="8"/>
      <c r="E22" s="3"/>
      <c r="F22" s="8"/>
      <c r="G22" s="3"/>
      <c r="H22" s="8"/>
    </row>
    <row r="23" spans="1:8" ht="12.75">
      <c r="A23" s="60" t="s">
        <v>1602</v>
      </c>
      <c r="B23" s="30">
        <f>SUM(B17:B21)</f>
        <v>4452</v>
      </c>
      <c r="C23" s="3"/>
      <c r="D23" s="30">
        <f>SUM(D17:D21)</f>
        <v>5497</v>
      </c>
      <c r="E23" s="3"/>
      <c r="F23" s="30">
        <f>SUM(F17:F21)</f>
        <v>24562</v>
      </c>
      <c r="G23" s="3"/>
      <c r="H23" s="30">
        <f>SUM(H17:H21)</f>
        <v>25284</v>
      </c>
    </row>
    <row r="24" spans="1:8" ht="12.75">
      <c r="A24" s="60"/>
      <c r="B24" s="8"/>
      <c r="C24" s="3"/>
      <c r="D24" s="8"/>
      <c r="E24" s="3"/>
      <c r="F24" s="8"/>
      <c r="G24" s="3"/>
      <c r="H24" s="8"/>
    </row>
    <row r="25" spans="1:8" ht="12.75">
      <c r="A25" s="2" t="s">
        <v>829</v>
      </c>
      <c r="B25" s="8">
        <f>ROUND('P&amp;L'!AA76,0)</f>
        <v>-739</v>
      </c>
      <c r="C25" s="3"/>
      <c r="D25" s="8">
        <v>-922</v>
      </c>
      <c r="E25" s="3"/>
      <c r="F25" s="8">
        <f>ROUND(+'P&amp;L'!Y76,0)</f>
        <v>-3369</v>
      </c>
      <c r="G25" s="3"/>
      <c r="H25" s="299">
        <v>-4485</v>
      </c>
    </row>
    <row r="26" spans="2:8" ht="12.75">
      <c r="B26" s="8"/>
      <c r="C26" s="3"/>
      <c r="D26" s="8"/>
      <c r="E26" s="3"/>
      <c r="F26" s="8"/>
      <c r="G26" s="3"/>
      <c r="H26" s="8"/>
    </row>
    <row r="27" spans="1:8" ht="12.75">
      <c r="A27" s="60" t="s">
        <v>1616</v>
      </c>
      <c r="B27" s="30">
        <f>SUM(B23:B25)</f>
        <v>3713</v>
      </c>
      <c r="C27" s="3"/>
      <c r="D27" s="30">
        <f>SUM(D23:D25)</f>
        <v>4575</v>
      </c>
      <c r="E27" s="3"/>
      <c r="F27" s="30">
        <f>SUM(F23:F25)</f>
        <v>21193</v>
      </c>
      <c r="G27" s="3"/>
      <c r="H27" s="30">
        <f>SUM(H23:H25)</f>
        <v>20799</v>
      </c>
    </row>
    <row r="28" spans="1:8" ht="12.75">
      <c r="A28" s="60"/>
      <c r="B28" s="8"/>
      <c r="C28" s="3"/>
      <c r="D28" s="8"/>
      <c r="E28" s="3"/>
      <c r="F28" s="8"/>
      <c r="G28" s="3"/>
      <c r="H28" s="8"/>
    </row>
    <row r="29" spans="1:8" ht="12.75">
      <c r="A29" s="2" t="s">
        <v>1471</v>
      </c>
      <c r="B29" s="8">
        <f>ROUND('P&amp;L'!AA81,0)</f>
        <v>-1727</v>
      </c>
      <c r="C29" s="3"/>
      <c r="D29" s="8">
        <v>-1707</v>
      </c>
      <c r="E29" s="3"/>
      <c r="F29" s="8">
        <f>ROUND('P&amp;L'!Y81,0)</f>
        <v>-7967</v>
      </c>
      <c r="G29" s="3"/>
      <c r="H29" s="299">
        <v>-8623</v>
      </c>
    </row>
    <row r="30" spans="2:8" ht="12.75">
      <c r="B30" s="8"/>
      <c r="C30" s="3"/>
      <c r="D30" s="8"/>
      <c r="E30" s="3"/>
      <c r="F30" s="8"/>
      <c r="G30" s="3"/>
      <c r="H30" s="8"/>
    </row>
    <row r="31" spans="1:8" ht="13.5" thickBot="1">
      <c r="A31" s="60" t="s">
        <v>1604</v>
      </c>
      <c r="B31" s="216">
        <f>SUM(B27:B29)</f>
        <v>1986</v>
      </c>
      <c r="C31" s="3"/>
      <c r="D31" s="216">
        <f>SUM(D27:D29)</f>
        <v>2868</v>
      </c>
      <c r="E31" s="3"/>
      <c r="F31" s="216">
        <f>SUM(F27:F29)</f>
        <v>13226</v>
      </c>
      <c r="G31" s="3"/>
      <c r="H31" s="216">
        <f>SUM(H27:H29)</f>
        <v>12176</v>
      </c>
    </row>
    <row r="32" spans="2:8" ht="13.5" thickTop="1">
      <c r="B32" s="18"/>
      <c r="C32" s="18"/>
      <c r="D32" s="18"/>
      <c r="E32" s="18"/>
      <c r="F32" s="18"/>
      <c r="G32" s="18"/>
      <c r="H32" s="18"/>
    </row>
    <row r="33" spans="1:8" ht="12.75">
      <c r="A33" s="2" t="s">
        <v>1467</v>
      </c>
      <c r="B33" s="169">
        <f>+EPS!G20</f>
        <v>3.74</v>
      </c>
      <c r="C33" s="18"/>
      <c r="D33" s="278">
        <v>5.41</v>
      </c>
      <c r="E33" s="18"/>
      <c r="F33" s="169">
        <f>+EPS!G22</f>
        <v>24.9</v>
      </c>
      <c r="G33" s="18"/>
      <c r="H33" s="278">
        <v>22.95</v>
      </c>
    </row>
    <row r="34" spans="2:8" ht="12.75">
      <c r="B34" s="63"/>
      <c r="C34" s="18"/>
      <c r="D34" s="176"/>
      <c r="E34" s="18"/>
      <c r="F34" s="63"/>
      <c r="G34" s="18"/>
      <c r="H34" s="176"/>
    </row>
    <row r="35" spans="1:8" ht="12.75">
      <c r="A35" s="2" t="s">
        <v>1470</v>
      </c>
      <c r="B35" s="169">
        <f>'Fully diluted'!I25</f>
        <v>3.730796444125807</v>
      </c>
      <c r="C35" s="18"/>
      <c r="D35" s="710">
        <v>5.4</v>
      </c>
      <c r="E35" s="18"/>
      <c r="F35" s="169">
        <f>'Fully diluted'!K25</f>
        <v>24.826967622159625</v>
      </c>
      <c r="G35" s="18"/>
      <c r="H35" s="710">
        <v>22.94</v>
      </c>
    </row>
    <row r="43" spans="1:8" ht="12.75" hidden="1">
      <c r="A43" s="174" t="s">
        <v>1437</v>
      </c>
      <c r="B43" s="160">
        <f>+ROUND('P&amp;L'!AA87,0)</f>
        <v>1987</v>
      </c>
      <c r="C43" s="174"/>
      <c r="D43" s="174"/>
      <c r="E43" s="174"/>
      <c r="F43" s="160">
        <f>+ROUND('P&amp;L'!Y87,0)</f>
        <v>13225</v>
      </c>
      <c r="G43" s="174"/>
      <c r="H43" s="174"/>
    </row>
    <row r="44" spans="1:8" ht="12.75" hidden="1">
      <c r="A44" s="174"/>
      <c r="B44" s="200">
        <f>+B31-B43</f>
        <v>-1</v>
      </c>
      <c r="C44" s="174"/>
      <c r="D44" s="174"/>
      <c r="E44" s="174"/>
      <c r="F44" s="200">
        <f>+F31-F43</f>
        <v>1</v>
      </c>
      <c r="G44" s="174"/>
      <c r="H44" s="174"/>
    </row>
  </sheetData>
  <mergeCells count="2">
    <mergeCell ref="B7:D7"/>
    <mergeCell ref="F7:H7"/>
  </mergeCells>
  <printOptions horizontalCentered="1"/>
  <pageMargins left="0.6" right="0.74" top="0.84" bottom="1" header="0.5" footer="0.5"/>
  <pageSetup fitToHeight="1" fitToWidth="1" horizontalDpi="300" verticalDpi="300" orientation="portrait" paperSize="9" r:id="rId4"/>
  <headerFooter alignWithMargins="0">
    <oddHeader>&amp;R&amp;D &amp;T</oddHeader>
  </headerFooter>
  <drawing r:id="rId3"/>
  <legacyDrawing r:id="rId2"/>
</worksheet>
</file>

<file path=xl/worksheets/sheet6.xml><?xml version="1.0" encoding="utf-8"?>
<worksheet xmlns="http://schemas.openxmlformats.org/spreadsheetml/2006/main" xmlns:r="http://schemas.openxmlformats.org/officeDocument/2006/relationships">
  <dimension ref="A1:L119"/>
  <sheetViews>
    <sheetView workbookViewId="0" topLeftCell="A25">
      <selection activeCell="B54" sqref="B54"/>
    </sheetView>
  </sheetViews>
  <sheetFormatPr defaultColWidth="9.140625" defaultRowHeight="12.75"/>
  <cols>
    <col min="1" max="1" width="36.28125" style="2" customWidth="1"/>
    <col min="2" max="2" width="9.8515625" style="2" customWidth="1"/>
    <col min="3" max="3" width="3.8515625" style="2" customWidth="1"/>
    <col min="4" max="4" width="15.421875" style="2" customWidth="1"/>
    <col min="5" max="5" width="3.28125" style="2" customWidth="1"/>
    <col min="6" max="6" width="13.00390625" style="2" customWidth="1"/>
    <col min="7" max="16384" width="8.8515625" style="2" customWidth="1"/>
  </cols>
  <sheetData>
    <row r="1" ht="18.75">
      <c r="A1" s="213" t="s">
        <v>1617</v>
      </c>
    </row>
    <row r="3" spans="1:3" ht="15.75">
      <c r="A3" s="212" t="s">
        <v>1473</v>
      </c>
      <c r="B3" s="60"/>
      <c r="C3" s="60"/>
    </row>
    <row r="4" spans="1:3" ht="15.75">
      <c r="A4" s="212" t="s">
        <v>115</v>
      </c>
      <c r="B4" s="60"/>
      <c r="C4" s="60"/>
    </row>
    <row r="6" spans="4:6" ht="12.75">
      <c r="D6" s="198" t="s">
        <v>1358</v>
      </c>
      <c r="E6" s="62"/>
      <c r="F6" s="198" t="s">
        <v>1360</v>
      </c>
    </row>
    <row r="7" spans="4:6" ht="12.75">
      <c r="D7" s="48" t="s">
        <v>1359</v>
      </c>
      <c r="E7" s="62"/>
      <c r="F7" s="48" t="s">
        <v>1362</v>
      </c>
    </row>
    <row r="8" spans="4:6" ht="12.75">
      <c r="D8" s="48" t="s">
        <v>614</v>
      </c>
      <c r="E8" s="62"/>
      <c r="F8" s="48" t="s">
        <v>1361</v>
      </c>
    </row>
    <row r="9" spans="4:6" ht="12.75">
      <c r="D9" s="1018" t="s">
        <v>116</v>
      </c>
      <c r="E9" s="192"/>
      <c r="F9" s="315">
        <v>38748</v>
      </c>
    </row>
    <row r="10" spans="2:6" ht="12.75">
      <c r="B10" s="171"/>
      <c r="D10" s="196" t="s">
        <v>521</v>
      </c>
      <c r="E10" s="62"/>
      <c r="F10" s="196" t="s">
        <v>521</v>
      </c>
    </row>
    <row r="12" spans="1:8" ht="12.75">
      <c r="A12" s="60" t="s">
        <v>1497</v>
      </c>
      <c r="B12" s="194"/>
      <c r="C12" s="60"/>
      <c r="D12" s="37">
        <f>ROUND('B. Sheet'!Z9,0)</f>
        <v>53760</v>
      </c>
      <c r="E12" s="3"/>
      <c r="F12" s="298">
        <v>50015</v>
      </c>
      <c r="G12" s="22"/>
      <c r="H12" s="22"/>
    </row>
    <row r="13" spans="4:6" ht="12.75">
      <c r="D13" s="8"/>
      <c r="E13" s="3"/>
      <c r="F13" s="299"/>
    </row>
    <row r="14" spans="1:7" ht="12.75">
      <c r="A14" s="60" t="s">
        <v>562</v>
      </c>
      <c r="D14" s="8">
        <f>ROUND('B. Sheet'!Z13,0)</f>
        <v>2009</v>
      </c>
      <c r="E14" s="3"/>
      <c r="F14" s="299">
        <v>3018</v>
      </c>
      <c r="G14" s="22"/>
    </row>
    <row r="15" spans="4:6" ht="12.75">
      <c r="D15" s="8"/>
      <c r="E15" s="3"/>
      <c r="F15" s="299"/>
    </row>
    <row r="16" spans="1:7" ht="12.75">
      <c r="A16" s="60" t="s">
        <v>1502</v>
      </c>
      <c r="D16" s="8">
        <f>ROUND('B. Sheet'!Z20,0)</f>
        <v>10581</v>
      </c>
      <c r="E16" s="3"/>
      <c r="F16" s="299">
        <v>8746</v>
      </c>
      <c r="G16" s="22"/>
    </row>
    <row r="17" spans="4:6" ht="12.75">
      <c r="D17" s="8"/>
      <c r="E17" s="3"/>
      <c r="F17" s="299"/>
    </row>
    <row r="18" spans="1:7" ht="12.75">
      <c r="A18" s="60" t="s">
        <v>781</v>
      </c>
      <c r="D18" s="8">
        <f>ROUND('B. Sheet'!Z11,0)</f>
        <v>2845</v>
      </c>
      <c r="E18" s="3"/>
      <c r="F18" s="299">
        <v>2895</v>
      </c>
      <c r="G18" s="22"/>
    </row>
    <row r="19" spans="1:6" ht="12.75">
      <c r="A19" s="60"/>
      <c r="D19" s="8"/>
      <c r="E19" s="3"/>
      <c r="F19" s="299"/>
    </row>
    <row r="20" spans="1:6" ht="12.75">
      <c r="A20" s="60" t="s">
        <v>282</v>
      </c>
      <c r="D20" s="8">
        <f>ROUND('B. Sheet'!Z26,0)</f>
        <v>0</v>
      </c>
      <c r="E20" s="3"/>
      <c r="F20" s="299">
        <v>0</v>
      </c>
    </row>
    <row r="21" spans="4:6" ht="12.75">
      <c r="D21" s="30">
        <f>SUM(D12:D20)</f>
        <v>69195</v>
      </c>
      <c r="E21" s="3"/>
      <c r="F21" s="30">
        <f>SUM(F12:F20)</f>
        <v>64674</v>
      </c>
    </row>
    <row r="22" spans="4:6" ht="12.75">
      <c r="D22" s="3"/>
      <c r="E22" s="3"/>
      <c r="F22" s="3"/>
    </row>
    <row r="23" spans="1:6" ht="12.75">
      <c r="A23" s="60" t="s">
        <v>570</v>
      </c>
      <c r="D23" s="3"/>
      <c r="E23" s="3"/>
      <c r="F23" s="3"/>
    </row>
    <row r="24" spans="1:7" ht="12.75">
      <c r="A24" s="15" t="s">
        <v>1160</v>
      </c>
      <c r="B24" s="15"/>
      <c r="C24" s="15"/>
      <c r="D24" s="437">
        <f>ROUND('B. Sheet'!Z29,0)</f>
        <v>26861</v>
      </c>
      <c r="E24" s="3"/>
      <c r="F24" s="298">
        <v>27737</v>
      </c>
      <c r="G24" s="22"/>
    </row>
    <row r="25" spans="1:7" ht="12.75">
      <c r="A25" s="15" t="s">
        <v>1363</v>
      </c>
      <c r="B25" s="15"/>
      <c r="C25" s="15"/>
      <c r="D25" s="340">
        <f>ROUND('B. Sheet'!Z30+'B. Sheet'!Z31+1+'B. Sheet'!Z32+'B. Sheet'!Z36,0)+'B. Sheet'!Z19-2</f>
        <v>35613.000000000015</v>
      </c>
      <c r="E25" s="3"/>
      <c r="F25" s="299">
        <v>49873</v>
      </c>
      <c r="G25" s="22"/>
    </row>
    <row r="26" spans="1:7" ht="12.75">
      <c r="A26" s="15" t="s">
        <v>1221</v>
      </c>
      <c r="B26" s="15"/>
      <c r="C26" s="15"/>
      <c r="D26" s="8">
        <f>ROUND('B. Sheet'!Z33,0)</f>
        <v>1426</v>
      </c>
      <c r="E26" s="3"/>
      <c r="F26" s="299">
        <v>1148</v>
      </c>
      <c r="G26" s="22"/>
    </row>
    <row r="27" spans="1:7" ht="12.75">
      <c r="A27" s="15" t="s">
        <v>1364</v>
      </c>
      <c r="B27" s="15"/>
      <c r="C27" s="15"/>
      <c r="D27" s="8">
        <f>ROUND('B. Sheet'!Z39+'B. Sheet'!Z40,0)</f>
        <v>46049</v>
      </c>
      <c r="E27" s="3"/>
      <c r="F27" s="299">
        <v>21870</v>
      </c>
      <c r="G27" s="22"/>
    </row>
    <row r="28" spans="1:6" ht="12.75">
      <c r="A28" s="15"/>
      <c r="B28" s="15"/>
      <c r="C28" s="15"/>
      <c r="D28" s="30">
        <f>SUM(D24:D27)</f>
        <v>109949.00000000001</v>
      </c>
      <c r="E28" s="3"/>
      <c r="F28" s="30">
        <f>SUM(F24:F27)</f>
        <v>100628</v>
      </c>
    </row>
    <row r="29" spans="4:12" ht="12.75">
      <c r="D29" s="3"/>
      <c r="E29" s="3"/>
      <c r="F29" s="3"/>
      <c r="J29" s="22"/>
      <c r="K29" s="22"/>
      <c r="L29" s="22"/>
    </row>
    <row r="30" spans="1:6" ht="12.75">
      <c r="A30" s="60" t="s">
        <v>602</v>
      </c>
      <c r="D30" s="3"/>
      <c r="E30" s="3"/>
      <c r="F30" s="3"/>
    </row>
    <row r="31" spans="1:7" ht="12.75">
      <c r="A31" s="15" t="s">
        <v>1366</v>
      </c>
      <c r="D31" s="437">
        <f>ROUND('B. Sheet'!Z46+'B. Sheet'!Z47+'B. Sheet'!Z49+'B. Sheet'!Z58,0)</f>
        <v>21305</v>
      </c>
      <c r="E31" s="3"/>
      <c r="F31" s="532">
        <v>28361</v>
      </c>
      <c r="G31" s="22"/>
    </row>
    <row r="32" spans="1:7" ht="12.75">
      <c r="A32" s="15" t="s">
        <v>1365</v>
      </c>
      <c r="B32" s="194"/>
      <c r="C32" s="15"/>
      <c r="D32" s="340">
        <f>ROUND('B. Sheet'!Z54+'B. Sheet'!Z55,0)</f>
        <v>3140</v>
      </c>
      <c r="E32" s="3"/>
      <c r="F32" s="533">
        <v>3430</v>
      </c>
      <c r="G32" s="22"/>
    </row>
    <row r="33" spans="1:6" ht="12.75" hidden="1">
      <c r="A33" s="15" t="s">
        <v>198</v>
      </c>
      <c r="B33" s="194"/>
      <c r="C33" s="15"/>
      <c r="D33" s="340">
        <v>0</v>
      </c>
      <c r="E33" s="3"/>
      <c r="F33" s="533">
        <v>0</v>
      </c>
    </row>
    <row r="34" spans="1:7" ht="12.75">
      <c r="A34" s="15" t="s">
        <v>829</v>
      </c>
      <c r="B34" s="15"/>
      <c r="C34" s="15"/>
      <c r="D34" s="531">
        <f>ROUND('B. Sheet'!Z57,0)</f>
        <v>62</v>
      </c>
      <c r="E34" s="3"/>
      <c r="F34" s="534">
        <v>481</v>
      </c>
      <c r="G34" s="22"/>
    </row>
    <row r="35" spans="1:7" ht="12.75">
      <c r="A35" s="15"/>
      <c r="B35" s="15"/>
      <c r="C35" s="15"/>
      <c r="D35" s="30">
        <f>SUM(D31:D34)</f>
        <v>24507</v>
      </c>
      <c r="E35" s="3"/>
      <c r="F35" s="30">
        <f>SUM(F31:F34)</f>
        <v>32272</v>
      </c>
      <c r="G35" s="22"/>
    </row>
    <row r="36" spans="1:6" ht="12.75">
      <c r="A36" s="15"/>
      <c r="B36" s="15"/>
      <c r="C36" s="15"/>
      <c r="D36" s="45"/>
      <c r="E36" s="3"/>
      <c r="F36" s="45"/>
    </row>
    <row r="37" spans="1:6" ht="12.75">
      <c r="A37" s="60" t="s">
        <v>1369</v>
      </c>
      <c r="D37" s="3">
        <f>D28-D35</f>
        <v>85442.00000000001</v>
      </c>
      <c r="E37" s="3"/>
      <c r="F37" s="3">
        <f>F28-F35</f>
        <v>68356</v>
      </c>
    </row>
    <row r="38" spans="1:6" ht="12.75">
      <c r="A38" s="60"/>
      <c r="D38" s="3"/>
      <c r="E38" s="3"/>
      <c r="F38" s="3"/>
    </row>
    <row r="39" spans="1:6" ht="13.5" thickBot="1">
      <c r="A39" s="22"/>
      <c r="B39" s="22"/>
      <c r="C39" s="22"/>
      <c r="D39" s="214">
        <f>+D21+D37</f>
        <v>154637</v>
      </c>
      <c r="E39" s="215"/>
      <c r="F39" s="214">
        <f>F37+F21</f>
        <v>133030</v>
      </c>
    </row>
    <row r="40" spans="4:6" ht="13.5" thickTop="1">
      <c r="D40" s="3"/>
      <c r="E40" s="3"/>
      <c r="F40" s="3"/>
    </row>
    <row r="41" spans="4:6" ht="12.75">
      <c r="D41" s="3"/>
      <c r="E41" s="3"/>
      <c r="F41" s="3"/>
    </row>
    <row r="42" spans="1:6" ht="12.75">
      <c r="A42" s="60" t="s">
        <v>312</v>
      </c>
      <c r="D42" s="45">
        <f>ROUND('B. Sheet'!Z69,0)</f>
        <v>53106</v>
      </c>
      <c r="E42" s="45"/>
      <c r="F42" s="161">
        <v>53076</v>
      </c>
    </row>
    <row r="43" spans="1:6" ht="12.75">
      <c r="A43" s="60" t="s">
        <v>342</v>
      </c>
      <c r="D43" s="4">
        <f>ROUND('B. Sheet'!Z71+'B. Sheet'!Z72+'B. Sheet'!Z73+'B. Sheet'!Z74+'B. Sheet'!Z76+'B. Sheet'!Z77+'B. Sheet'!Z78+'B. Sheet'!Z80,0)</f>
        <v>31046</v>
      </c>
      <c r="E43" s="45"/>
      <c r="F43" s="300">
        <v>16358</v>
      </c>
    </row>
    <row r="44" spans="1:6" ht="12.75">
      <c r="A44" s="60" t="s">
        <v>1090</v>
      </c>
      <c r="B44" s="15"/>
      <c r="C44" s="15"/>
      <c r="D44" s="3">
        <f>SUM(D42:D43)</f>
        <v>84152</v>
      </c>
      <c r="E44" s="3"/>
      <c r="F44" s="3">
        <f>SUM(F42:F43)</f>
        <v>69434</v>
      </c>
    </row>
    <row r="45" spans="1:6" ht="12.75">
      <c r="A45" s="60" t="s">
        <v>1368</v>
      </c>
      <c r="D45" s="3">
        <f>ROUND('B. Sheet'!Z84,0)</f>
        <v>61764</v>
      </c>
      <c r="E45" s="3"/>
      <c r="F45" s="201">
        <v>53797</v>
      </c>
    </row>
    <row r="46" spans="1:6" ht="12.75">
      <c r="A46" s="60" t="s">
        <v>1370</v>
      </c>
      <c r="D46" s="3"/>
      <c r="E46" s="3"/>
      <c r="F46" s="3"/>
    </row>
    <row r="47" spans="1:7" ht="12.75">
      <c r="A47" s="15" t="s">
        <v>1365</v>
      </c>
      <c r="B47" s="194"/>
      <c r="D47" s="3">
        <f>ROUND('B. Sheet'!Z88,0)</f>
        <v>7342</v>
      </c>
      <c r="E47" s="3"/>
      <c r="F47" s="201">
        <v>8457</v>
      </c>
      <c r="G47" s="22"/>
    </row>
    <row r="48" spans="1:7" ht="12.75">
      <c r="A48" s="15" t="s">
        <v>1161</v>
      </c>
      <c r="D48" s="3">
        <f>ROUND('B. Sheet'!Z90,0)</f>
        <v>1383</v>
      </c>
      <c r="E48" s="3"/>
      <c r="F48" s="201">
        <v>1342</v>
      </c>
      <c r="G48" s="22"/>
    </row>
    <row r="49" spans="4:6" ht="13.5" thickBot="1">
      <c r="D49" s="214">
        <f>SUM(D44:D48)</f>
        <v>154641</v>
      </c>
      <c r="E49" s="215"/>
      <c r="F49" s="214">
        <f>SUM(F44:F48)</f>
        <v>133030</v>
      </c>
    </row>
    <row r="50" spans="4:6" ht="13.5" thickTop="1">
      <c r="D50" s="18"/>
      <c r="E50" s="18"/>
      <c r="F50" s="3"/>
    </row>
    <row r="51" spans="4:6" ht="12.75">
      <c r="D51" s="18"/>
      <c r="E51" s="18"/>
      <c r="F51" s="3"/>
    </row>
    <row r="52" spans="4:6" ht="12.75">
      <c r="D52" s="18"/>
      <c r="E52" s="18"/>
      <c r="F52" s="3"/>
    </row>
    <row r="53" spans="4:6" ht="12.75">
      <c r="D53" s="18"/>
      <c r="E53" s="18"/>
      <c r="F53" s="3"/>
    </row>
    <row r="54" spans="4:6" ht="12.75">
      <c r="D54" s="18"/>
      <c r="E54" s="18"/>
      <c r="F54" s="3"/>
    </row>
    <row r="55" spans="4:6" ht="12.75">
      <c r="D55" s="18"/>
      <c r="E55" s="18"/>
      <c r="F55" s="3"/>
    </row>
    <row r="56" spans="4:6" ht="12.75">
      <c r="D56" s="18"/>
      <c r="E56" s="18"/>
      <c r="F56" s="3"/>
    </row>
    <row r="57" spans="1:6" ht="12.75">
      <c r="A57" s="2" t="s">
        <v>1162</v>
      </c>
      <c r="D57" s="178">
        <f>(D39-D45-D47-D48)/D42</f>
        <v>1.5845290550973525</v>
      </c>
      <c r="E57" s="18"/>
      <c r="F57" s="178">
        <f>(F39-F45-F47-F48)/F42</f>
        <v>1.3081995628909489</v>
      </c>
    </row>
    <row r="58" spans="4:6" ht="12.75">
      <c r="D58" s="18"/>
      <c r="E58" s="18"/>
      <c r="F58" s="3"/>
    </row>
    <row r="59" spans="1:6" ht="12.75">
      <c r="A59" s="174" t="s">
        <v>1437</v>
      </c>
      <c r="D59" s="342">
        <f>+D39-D49</f>
        <v>-4</v>
      </c>
      <c r="E59" s="174"/>
      <c r="F59" s="201">
        <f>+F39-F49</f>
        <v>0</v>
      </c>
    </row>
    <row r="60" spans="4:6" ht="12.75">
      <c r="D60" s="15"/>
      <c r="E60" s="15"/>
      <c r="F60" s="15"/>
    </row>
    <row r="61" spans="1:6" ht="12.75">
      <c r="A61" s="15" t="s">
        <v>192</v>
      </c>
      <c r="D61" s="258">
        <f>+ROUND('B. Sheet'!W39,0)</f>
        <v>36516</v>
      </c>
      <c r="E61" s="258"/>
      <c r="F61" s="258">
        <v>15780</v>
      </c>
    </row>
    <row r="62" spans="1:6" ht="12.75">
      <c r="A62" s="15" t="s">
        <v>191</v>
      </c>
      <c r="D62" s="258">
        <f>ROUND('B. Sheet'!W40,0)</f>
        <v>9534</v>
      </c>
      <c r="E62" s="258"/>
      <c r="F62" s="258">
        <v>3400</v>
      </c>
    </row>
    <row r="63" spans="1:6" ht="12.75">
      <c r="A63" s="15"/>
      <c r="D63" s="259">
        <f>SUM(D61:D62)</f>
        <v>46050</v>
      </c>
      <c r="E63" s="15"/>
      <c r="F63" s="259">
        <f>SUM(F61:F62)</f>
        <v>19180</v>
      </c>
    </row>
    <row r="64" spans="1:6" ht="12.75">
      <c r="A64" s="15" t="s">
        <v>190</v>
      </c>
      <c r="D64" s="320">
        <v>0</v>
      </c>
      <c r="E64" s="15"/>
      <c r="F64" s="320"/>
    </row>
    <row r="65" spans="1:6" ht="13.5" thickBot="1">
      <c r="A65" s="15" t="s">
        <v>1364</v>
      </c>
      <c r="D65" s="260">
        <f>SUM(D63:D64)</f>
        <v>46050</v>
      </c>
      <c r="E65" s="15"/>
      <c r="F65" s="260">
        <f>SUM(F63:F64)</f>
        <v>19180</v>
      </c>
    </row>
    <row r="66" spans="4:6" ht="13.5" thickTop="1">
      <c r="D66" s="15"/>
      <c r="E66" s="15"/>
      <c r="F66" s="15"/>
    </row>
    <row r="67" spans="4:6" ht="12.75">
      <c r="D67" s="15"/>
      <c r="E67" s="15"/>
      <c r="F67" s="15"/>
    </row>
    <row r="68" spans="4:6" ht="12.75">
      <c r="D68" s="15"/>
      <c r="E68" s="15"/>
      <c r="F68" s="15"/>
    </row>
    <row r="69" spans="1:4" s="61" customFormat="1" ht="12.75">
      <c r="A69" s="302"/>
      <c r="D69" s="303"/>
    </row>
    <row r="70" spans="1:4" s="61" customFormat="1" ht="13.5">
      <c r="A70" s="218" t="s">
        <v>829</v>
      </c>
      <c r="B70" s="2"/>
      <c r="C70" s="2"/>
      <c r="D70" s="2"/>
    </row>
    <row r="71" spans="1:4" s="61" customFormat="1" ht="12.75">
      <c r="A71" s="15" t="s">
        <v>1505</v>
      </c>
      <c r="B71" s="15"/>
      <c r="C71" s="15"/>
      <c r="D71" s="217">
        <f>ROUND(F34-F26,0)</f>
        <v>-667</v>
      </c>
    </row>
    <row r="72" spans="1:6" s="61" customFormat="1" ht="12.75">
      <c r="A72" s="15" t="s">
        <v>1506</v>
      </c>
      <c r="C72" s="15"/>
      <c r="D72" s="258">
        <f>+ROUND(-'P&amp;L'!U76-'P&amp;L'!U75-'P&amp;L'!X76,0)</f>
        <v>3215</v>
      </c>
      <c r="F72" s="45"/>
    </row>
    <row r="73" spans="2:6" s="61" customFormat="1" ht="12.75">
      <c r="B73" s="15"/>
      <c r="C73" s="15"/>
      <c r="D73" s="259">
        <f>SUM(D71:D72)</f>
        <v>2548</v>
      </c>
      <c r="F73" s="45"/>
    </row>
    <row r="74" spans="1:6" s="61" customFormat="1" ht="12.75">
      <c r="A74" s="15" t="s">
        <v>1507</v>
      </c>
      <c r="B74" s="15"/>
      <c r="C74" s="15"/>
      <c r="D74" s="217">
        <f>+D75-D73</f>
        <v>-3912</v>
      </c>
      <c r="F74" s="45"/>
    </row>
    <row r="75" spans="1:6" s="61" customFormat="1" ht="13.5" thickBot="1">
      <c r="A75" s="15" t="s">
        <v>1508</v>
      </c>
      <c r="C75" s="15"/>
      <c r="D75" s="260">
        <f>ROUND(D34-D26,0)</f>
        <v>-1364</v>
      </c>
      <c r="F75" s="45"/>
    </row>
    <row r="76" s="61" customFormat="1" ht="13.5" thickTop="1"/>
    <row r="77" spans="1:2" s="61" customFormat="1" ht="12.75">
      <c r="A77" s="2"/>
      <c r="B77" s="2"/>
    </row>
    <row r="78" spans="1:4" ht="12.75">
      <c r="A78" s="323" t="s">
        <v>226</v>
      </c>
      <c r="B78" s="174"/>
      <c r="C78" s="174"/>
      <c r="D78" s="174"/>
    </row>
    <row r="79" spans="1:4" ht="12.75">
      <c r="A79" s="174"/>
      <c r="B79" s="174"/>
      <c r="C79" s="174"/>
      <c r="D79" s="174"/>
    </row>
    <row r="80" spans="1:4" ht="12.75">
      <c r="A80" s="323" t="s">
        <v>920</v>
      </c>
      <c r="B80" s="323"/>
      <c r="C80" s="323"/>
      <c r="D80" s="324"/>
    </row>
    <row r="81" spans="1:4" ht="12.75">
      <c r="A81" s="323" t="s">
        <v>350</v>
      </c>
      <c r="B81" s="323"/>
      <c r="C81" s="323"/>
      <c r="D81" s="324"/>
    </row>
    <row r="82" spans="1:4" ht="12.75">
      <c r="A82" s="323" t="s">
        <v>227</v>
      </c>
      <c r="C82" s="323"/>
      <c r="D82" s="324"/>
    </row>
    <row r="83" spans="1:4" ht="12.75">
      <c r="A83" s="323" t="s">
        <v>244</v>
      </c>
      <c r="C83" s="323"/>
      <c r="D83" s="324"/>
    </row>
    <row r="84" spans="1:4" ht="12.75">
      <c r="A84" s="323" t="s">
        <v>245</v>
      </c>
      <c r="C84" s="323"/>
      <c r="D84" s="324"/>
    </row>
    <row r="85" spans="1:4" ht="12.75">
      <c r="A85" s="323" t="s">
        <v>336</v>
      </c>
      <c r="B85" s="323"/>
      <c r="C85" s="323"/>
      <c r="D85" s="324"/>
    </row>
    <row r="86" spans="1:6" ht="13.5" thickBot="1">
      <c r="A86" s="323"/>
      <c r="B86" s="323"/>
      <c r="C86" s="323"/>
      <c r="D86" s="328">
        <f>SUM(D80:D85)</f>
        <v>0</v>
      </c>
      <c r="F86" s="22"/>
    </row>
    <row r="87" ht="13.5" thickTop="1">
      <c r="D87" s="1"/>
    </row>
    <row r="88" ht="12.75">
      <c r="D88" s="1"/>
    </row>
    <row r="89" spans="1:6" ht="15">
      <c r="A89" s="323" t="s">
        <v>228</v>
      </c>
      <c r="D89" s="333" t="s">
        <v>241</v>
      </c>
      <c r="E89" s="334"/>
      <c r="F89" s="333" t="s">
        <v>52</v>
      </c>
    </row>
    <row r="90" spans="1:6" ht="12.75">
      <c r="A90" s="323" t="s">
        <v>350</v>
      </c>
      <c r="D90" s="324">
        <f>277-31.031</f>
        <v>245.969</v>
      </c>
      <c r="F90" s="324">
        <v>155</v>
      </c>
    </row>
    <row r="91" spans="1:6" ht="12.75">
      <c r="A91" s="323" t="s">
        <v>920</v>
      </c>
      <c r="D91" s="324">
        <f>3721+51.369</f>
        <v>3772.369</v>
      </c>
      <c r="F91" s="324">
        <v>1158.934</v>
      </c>
    </row>
    <row r="92" spans="1:6" ht="12.75">
      <c r="A92" s="323" t="s">
        <v>324</v>
      </c>
      <c r="D92" s="324">
        <v>-0.938</v>
      </c>
      <c r="F92" s="324">
        <v>1.59</v>
      </c>
    </row>
    <row r="93" spans="1:6" ht="12.75">
      <c r="A93" s="323" t="s">
        <v>240</v>
      </c>
      <c r="D93" s="324"/>
      <c r="F93" s="324">
        <v>107.801</v>
      </c>
    </row>
    <row r="94" spans="1:6" ht="12.75">
      <c r="A94" s="323" t="s">
        <v>331</v>
      </c>
      <c r="D94" s="324"/>
      <c r="F94" s="324">
        <v>-63</v>
      </c>
    </row>
    <row r="95" spans="1:6" ht="12.75">
      <c r="A95" s="323" t="s">
        <v>320</v>
      </c>
      <c r="D95" s="324"/>
      <c r="F95" s="324">
        <v>2.833</v>
      </c>
    </row>
    <row r="96" spans="1:6" ht="12.75">
      <c r="A96" s="323" t="s">
        <v>332</v>
      </c>
      <c r="D96" s="324"/>
      <c r="F96" s="324">
        <v>59.323</v>
      </c>
    </row>
    <row r="97" spans="1:6" ht="12.75">
      <c r="A97" s="323" t="s">
        <v>336</v>
      </c>
      <c r="D97" s="324">
        <v>1.926</v>
      </c>
      <c r="F97" s="324">
        <v>0.439</v>
      </c>
    </row>
    <row r="98" spans="1:6" ht="13.5" thickBot="1">
      <c r="A98" s="323"/>
      <c r="B98" s="166"/>
      <c r="D98" s="328">
        <f>SUM(D90:D97)</f>
        <v>4019.326</v>
      </c>
      <c r="F98" s="328">
        <f>SUM(F90:F97)</f>
        <v>1422.92</v>
      </c>
    </row>
    <row r="99" spans="1:4" ht="13.5" thickTop="1">
      <c r="A99" s="323"/>
      <c r="D99" s="324"/>
    </row>
    <row r="100" ht="12.75">
      <c r="A100" s="323"/>
    </row>
    <row r="101" ht="12.75">
      <c r="A101" s="15" t="s">
        <v>238</v>
      </c>
    </row>
    <row r="102" spans="1:4" s="15" customFormat="1" ht="12.75">
      <c r="A102" s="15" t="s">
        <v>331</v>
      </c>
      <c r="D102" s="330"/>
    </row>
    <row r="103" spans="1:4" s="15" customFormat="1" ht="12.75">
      <c r="A103" s="15" t="s">
        <v>320</v>
      </c>
      <c r="D103" s="330"/>
    </row>
    <row r="104" spans="1:4" s="15" customFormat="1" ht="12.75">
      <c r="A104" s="15" t="s">
        <v>319</v>
      </c>
      <c r="D104" s="330"/>
    </row>
    <row r="105" spans="1:4" s="15" customFormat="1" ht="12.75">
      <c r="A105" s="15" t="s">
        <v>321</v>
      </c>
      <c r="D105" s="330"/>
    </row>
    <row r="106" spans="1:4" s="15" customFormat="1" ht="12.75">
      <c r="A106" s="15" t="s">
        <v>323</v>
      </c>
      <c r="D106" s="330"/>
    </row>
    <row r="107" s="15" customFormat="1" ht="13.5" thickBot="1">
      <c r="D107" s="331">
        <f>SUM(D102:D106)</f>
        <v>0</v>
      </c>
    </row>
    <row r="108" s="15" customFormat="1" ht="13.5" thickTop="1"/>
    <row r="109" s="15" customFormat="1" ht="12.75">
      <c r="A109" s="15" t="s">
        <v>239</v>
      </c>
    </row>
    <row r="110" spans="1:4" s="15" customFormat="1" ht="12.75">
      <c r="A110" s="15" t="s">
        <v>236</v>
      </c>
      <c r="D110" s="330">
        <f>+notes!D8/1000-notes!E8/1000</f>
        <v>-574.9996400000001</v>
      </c>
    </row>
    <row r="111" spans="1:4" s="15" customFormat="1" ht="12.75">
      <c r="A111" s="15" t="s">
        <v>320</v>
      </c>
      <c r="D111" s="330">
        <f>+notes!D7/1000-notes!E7/1000</f>
        <v>-29.97</v>
      </c>
    </row>
    <row r="112" spans="1:4" s="15" customFormat="1" ht="12.75">
      <c r="A112" s="15" t="s">
        <v>318</v>
      </c>
      <c r="D112" s="330">
        <f>-notes!E6/1000</f>
        <v>-840</v>
      </c>
    </row>
    <row r="113" s="15" customFormat="1" ht="13.5" thickBot="1">
      <c r="D113" s="331">
        <f>SUM(D110:D112)</f>
        <v>-1444.9696400000003</v>
      </c>
    </row>
    <row r="114" spans="2:4" ht="13.5" thickTop="1">
      <c r="B114" s="166"/>
      <c r="D114" s="166"/>
    </row>
    <row r="115" spans="1:4" ht="12.75">
      <c r="A115" s="15" t="s">
        <v>237</v>
      </c>
      <c r="D115" s="330">
        <f>+D107+D113</f>
        <v>-1444.9696400000003</v>
      </c>
    </row>
    <row r="117" spans="2:4" ht="12.75">
      <c r="B117" s="323" t="s">
        <v>1437</v>
      </c>
      <c r="D117" s="332">
        <f>+F32+F47-D32-D47+D115</f>
        <v>-39.969640000000254</v>
      </c>
    </row>
    <row r="119" ht="12.75">
      <c r="D119" s="166"/>
    </row>
  </sheetData>
  <printOptions horizontalCentered="1"/>
  <pageMargins left="0.23" right="0.38" top="0.84" bottom="1" header="0.5" footer="0.5"/>
  <pageSetup horizontalDpi="300" verticalDpi="300" orientation="portrait" paperSize="9" r:id="rId2"/>
  <headerFooter alignWithMargins="0">
    <oddHeader>&amp;R&amp;D  &amp;T</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K49"/>
  <sheetViews>
    <sheetView workbookViewId="0" topLeftCell="A1">
      <selection activeCell="G28" sqref="G28"/>
    </sheetView>
  </sheetViews>
  <sheetFormatPr defaultColWidth="9.140625" defaultRowHeight="12.75"/>
  <cols>
    <col min="1" max="1" width="2.00390625" style="445" customWidth="1"/>
    <col min="2" max="2" width="41.7109375" style="445" customWidth="1"/>
    <col min="3" max="3" width="11.57421875" style="445" customWidth="1"/>
    <col min="4" max="4" width="12.28125" style="445" bestFit="1" customWidth="1"/>
    <col min="5" max="8" width="11.8515625" style="445" customWidth="1"/>
    <col min="9" max="9" width="10.28125" style="445" bestFit="1" customWidth="1"/>
    <col min="10" max="16384" width="8.8515625" style="445" customWidth="1"/>
  </cols>
  <sheetData>
    <row r="1" ht="18.75">
      <c r="B1" s="621" t="s">
        <v>1617</v>
      </c>
    </row>
    <row r="3" spans="2:11" ht="12.75">
      <c r="B3" s="622" t="s">
        <v>1475</v>
      </c>
      <c r="K3" s="623"/>
    </row>
    <row r="4" spans="2:11" ht="12.75">
      <c r="B4" s="622" t="s">
        <v>124</v>
      </c>
      <c r="K4" s="623"/>
    </row>
    <row r="5" ht="12.75">
      <c r="K5" s="623"/>
    </row>
    <row r="6" spans="3:11" ht="25.5">
      <c r="C6" s="624" t="s">
        <v>312</v>
      </c>
      <c r="D6" s="624" t="s">
        <v>610</v>
      </c>
      <c r="E6" s="624" t="s">
        <v>1294</v>
      </c>
      <c r="F6" s="624" t="s">
        <v>1247</v>
      </c>
      <c r="G6" s="624" t="s">
        <v>885</v>
      </c>
      <c r="H6" s="624" t="s">
        <v>57</v>
      </c>
      <c r="I6" s="625" t="s">
        <v>329</v>
      </c>
      <c r="K6" s="623"/>
    </row>
    <row r="7" spans="3:11" ht="12.75">
      <c r="C7" s="625" t="s">
        <v>1357</v>
      </c>
      <c r="D7" s="625" t="s">
        <v>1357</v>
      </c>
      <c r="E7" s="625" t="s">
        <v>1357</v>
      </c>
      <c r="F7" s="625" t="s">
        <v>1357</v>
      </c>
      <c r="G7" s="625" t="s">
        <v>1357</v>
      </c>
      <c r="H7" s="625" t="s">
        <v>1357</v>
      </c>
      <c r="I7" s="625" t="s">
        <v>1357</v>
      </c>
      <c r="K7" s="623"/>
    </row>
    <row r="8" spans="3:11" ht="12.75">
      <c r="C8" s="626"/>
      <c r="D8" s="626"/>
      <c r="E8" s="626"/>
      <c r="F8" s="626"/>
      <c r="G8" s="626"/>
      <c r="H8" s="626"/>
      <c r="I8" s="626"/>
      <c r="K8" s="623"/>
    </row>
    <row r="9" spans="3:11" ht="12.75">
      <c r="C9" s="623"/>
      <c r="D9" s="623"/>
      <c r="E9" s="623"/>
      <c r="F9" s="623"/>
      <c r="G9" s="623"/>
      <c r="H9" s="623"/>
      <c r="I9" s="623"/>
      <c r="K9" s="623"/>
    </row>
    <row r="10" spans="2:11" ht="12.75">
      <c r="B10" s="627" t="s">
        <v>125</v>
      </c>
      <c r="C10" s="623"/>
      <c r="D10" s="623"/>
      <c r="E10" s="623"/>
      <c r="F10" s="623"/>
      <c r="G10" s="623"/>
      <c r="H10" s="623"/>
      <c r="I10" s="623"/>
      <c r="K10" s="623"/>
    </row>
    <row r="11" spans="3:11" ht="12.75">
      <c r="C11" s="623"/>
      <c r="D11" s="623"/>
      <c r="E11" s="623"/>
      <c r="F11" s="623"/>
      <c r="G11" s="623"/>
      <c r="H11" s="623"/>
      <c r="I11" s="623"/>
      <c r="K11" s="623"/>
    </row>
    <row r="12" spans="2:11" ht="12.75">
      <c r="B12" s="445" t="s">
        <v>1591</v>
      </c>
      <c r="C12" s="45">
        <f>'[2]det equity'!D23</f>
        <v>53020</v>
      </c>
      <c r="D12" s="45">
        <f>+'[2]det equity'!E23</f>
        <v>3704</v>
      </c>
      <c r="E12" s="45">
        <f>+'[2]det equity'!F23</f>
        <v>377</v>
      </c>
      <c r="F12" s="45">
        <f>+'[2]det equity'!G23</f>
        <v>464</v>
      </c>
      <c r="G12" s="45">
        <f>+'[2]det equity'!H23</f>
        <v>515</v>
      </c>
      <c r="H12" s="45">
        <f>+'[2]det equity'!I23</f>
        <v>-996.9</v>
      </c>
      <c r="I12" s="175">
        <f>SUM(C12:H12)</f>
        <v>57083.1</v>
      </c>
      <c r="K12" s="623"/>
    </row>
    <row r="13" spans="3:11" ht="12.75">
      <c r="C13" s="45"/>
      <c r="D13" s="45"/>
      <c r="E13" s="45"/>
      <c r="F13" s="45"/>
      <c r="G13" s="45"/>
      <c r="H13" s="45"/>
      <c r="I13" s="175"/>
      <c r="K13" s="623"/>
    </row>
    <row r="14" spans="2:11" ht="12.75">
      <c r="B14" s="445" t="s">
        <v>55</v>
      </c>
      <c r="C14" s="175">
        <v>55.9</v>
      </c>
      <c r="D14" s="175">
        <v>11</v>
      </c>
      <c r="E14" s="175"/>
      <c r="F14" s="175"/>
      <c r="G14" s="175"/>
      <c r="H14" s="175"/>
      <c r="I14" s="45">
        <f>SUM(C14:H14)</f>
        <v>66.9</v>
      </c>
      <c r="K14" s="623"/>
    </row>
    <row r="15" spans="2:11" ht="12.75">
      <c r="B15" s="445" t="str">
        <f>'det equity'!A28</f>
        <v>Transfer from retained profit to capital reverse</v>
      </c>
      <c r="C15" s="175"/>
      <c r="D15" s="175"/>
      <c r="E15" s="175"/>
      <c r="F15" s="175">
        <f>+'det equity'!G16</f>
        <v>119</v>
      </c>
      <c r="G15" s="175"/>
      <c r="H15" s="175">
        <f>+'det equity'!I16</f>
        <v>-119</v>
      </c>
      <c r="I15" s="45">
        <f>SUM(C15:H15)</f>
        <v>0</v>
      </c>
      <c r="K15" s="623"/>
    </row>
    <row r="16" spans="2:11" ht="12.75">
      <c r="B16" s="445" t="s">
        <v>1373</v>
      </c>
      <c r="C16" s="175"/>
      <c r="D16" s="175"/>
      <c r="E16" s="175">
        <v>0</v>
      </c>
      <c r="F16" s="175"/>
      <c r="G16" s="175">
        <f>+'det equity'!H18</f>
        <v>108</v>
      </c>
      <c r="H16" s="175"/>
      <c r="I16" s="45">
        <f>SUM(C16:H16)</f>
        <v>108</v>
      </c>
      <c r="K16" s="623"/>
    </row>
    <row r="17" spans="2:11" ht="12.75">
      <c r="B17" s="445" t="s">
        <v>1249</v>
      </c>
      <c r="C17" s="175"/>
      <c r="D17" s="175"/>
      <c r="E17" s="175"/>
      <c r="F17" s="175"/>
      <c r="G17" s="175"/>
      <c r="H17" s="45">
        <f>+'det equity'!I20</f>
        <v>12176</v>
      </c>
      <c r="I17" s="45">
        <f>SUM(C17:H17)</f>
        <v>12176</v>
      </c>
      <c r="K17" s="623"/>
    </row>
    <row r="18" spans="3:11" ht="12.75">
      <c r="C18" s="61"/>
      <c r="D18" s="61"/>
      <c r="E18" s="61"/>
      <c r="F18" s="61"/>
      <c r="G18" s="61"/>
      <c r="H18" s="61"/>
      <c r="I18" s="61"/>
      <c r="K18" s="623"/>
    </row>
    <row r="19" spans="2:10" ht="13.5" thickBot="1">
      <c r="B19" s="445" t="s">
        <v>127</v>
      </c>
      <c r="C19" s="709">
        <f aca="true" t="shared" si="0" ref="C19:I19">SUM(C12:C18)</f>
        <v>53075.9</v>
      </c>
      <c r="D19" s="709">
        <f t="shared" si="0"/>
        <v>3715</v>
      </c>
      <c r="E19" s="709">
        <f t="shared" si="0"/>
        <v>377</v>
      </c>
      <c r="F19" s="709">
        <f t="shared" si="0"/>
        <v>583</v>
      </c>
      <c r="G19" s="709">
        <f t="shared" si="0"/>
        <v>623</v>
      </c>
      <c r="H19" s="709">
        <f t="shared" si="0"/>
        <v>11060.1</v>
      </c>
      <c r="I19" s="709">
        <f t="shared" si="0"/>
        <v>69434</v>
      </c>
      <c r="J19" s="628"/>
    </row>
    <row r="20" spans="3:11" ht="13.5" thickTop="1">
      <c r="C20" s="623"/>
      <c r="D20" s="623"/>
      <c r="E20" s="623"/>
      <c r="F20" s="623"/>
      <c r="G20" s="623"/>
      <c r="H20" s="623"/>
      <c r="I20" s="623"/>
      <c r="K20" s="623"/>
    </row>
    <row r="21" spans="2:11" ht="12.75">
      <c r="B21" s="627" t="s">
        <v>126</v>
      </c>
      <c r="C21" s="623"/>
      <c r="D21" s="623"/>
      <c r="E21" s="623"/>
      <c r="F21" s="623"/>
      <c r="G21" s="623"/>
      <c r="H21" s="623"/>
      <c r="I21" s="623"/>
      <c r="K21" s="623"/>
    </row>
    <row r="22" spans="3:11" ht="12.75">
      <c r="C22" s="623"/>
      <c r="D22" s="623"/>
      <c r="E22" s="623"/>
      <c r="F22" s="623"/>
      <c r="G22" s="623"/>
      <c r="H22" s="623"/>
      <c r="I22" s="623"/>
      <c r="K22" s="623"/>
    </row>
    <row r="23" spans="2:11" ht="12.75">
      <c r="B23" s="445" t="s">
        <v>89</v>
      </c>
      <c r="C23" s="629">
        <f>'det equity'!D25</f>
        <v>53076</v>
      </c>
      <c r="D23" s="629">
        <f>'det equity'!E25</f>
        <v>3715</v>
      </c>
      <c r="E23" s="629">
        <f>'det equity'!F25</f>
        <v>377</v>
      </c>
      <c r="F23" s="629">
        <f>'det equity'!G25</f>
        <v>583</v>
      </c>
      <c r="G23" s="629">
        <f>'det equity'!H25</f>
        <v>623</v>
      </c>
      <c r="H23" s="629">
        <f>'det equity'!I25</f>
        <v>11060.1</v>
      </c>
      <c r="I23" s="629">
        <f>SUM(C23:H23)</f>
        <v>69434.1</v>
      </c>
      <c r="K23" s="623"/>
    </row>
    <row r="24" spans="3:11" ht="12.75">
      <c r="C24" s="629"/>
      <c r="D24" s="629"/>
      <c r="E24" s="629"/>
      <c r="F24" s="629"/>
      <c r="G24" s="629"/>
      <c r="H24" s="629"/>
      <c r="I24" s="629"/>
      <c r="K24" s="623"/>
    </row>
    <row r="25" spans="2:11" ht="12.75">
      <c r="B25" s="445" t="str">
        <f>'det equity'!A16</f>
        <v>Transfer from retained profit to capital reverse</v>
      </c>
      <c r="C25" s="629"/>
      <c r="D25" s="629"/>
      <c r="E25" s="629"/>
      <c r="F25" s="629">
        <v>509</v>
      </c>
      <c r="G25" s="629"/>
      <c r="H25" s="629">
        <v>-509</v>
      </c>
      <c r="I25" s="629">
        <f aca="true" t="shared" si="1" ref="I25:I30">SUM(C25:H25)</f>
        <v>0</v>
      </c>
      <c r="K25" s="623"/>
    </row>
    <row r="26" spans="2:11" ht="12.75">
      <c r="B26" s="445" t="s">
        <v>437</v>
      </c>
      <c r="C26" s="629">
        <v>30</v>
      </c>
      <c r="D26" s="629"/>
      <c r="E26" s="629"/>
      <c r="F26" s="629"/>
      <c r="G26" s="629"/>
      <c r="H26" s="629"/>
      <c r="I26" s="629">
        <f t="shared" si="1"/>
        <v>30</v>
      </c>
      <c r="K26" s="623"/>
    </row>
    <row r="27" spans="2:11" ht="12.75">
      <c r="B27" s="445" t="s">
        <v>436</v>
      </c>
      <c r="C27" s="629"/>
      <c r="D27" s="629"/>
      <c r="E27" s="629">
        <v>0</v>
      </c>
      <c r="F27" s="629"/>
      <c r="G27" s="629"/>
      <c r="H27" s="629"/>
      <c r="I27" s="629">
        <f t="shared" si="1"/>
        <v>0</v>
      </c>
      <c r="K27" s="623"/>
    </row>
    <row r="28" spans="2:11" ht="12.75">
      <c r="B28" s="445" t="str">
        <f>'det equity'!A18</f>
        <v>Currency translation differences</v>
      </c>
      <c r="C28" s="629"/>
      <c r="D28" s="629"/>
      <c r="E28" s="629"/>
      <c r="F28" s="629">
        <v>0</v>
      </c>
      <c r="G28" s="629">
        <f>+'det equity'!H29</f>
        <v>1084</v>
      </c>
      <c r="H28" s="629"/>
      <c r="I28" s="629">
        <f t="shared" si="1"/>
        <v>1084</v>
      </c>
      <c r="K28" s="623"/>
    </row>
    <row r="29" spans="2:11" ht="12.75">
      <c r="B29" s="445" t="s">
        <v>1249</v>
      </c>
      <c r="C29" s="632"/>
      <c r="D29" s="632"/>
      <c r="E29" s="632"/>
      <c r="F29" s="632"/>
      <c r="G29" s="632"/>
      <c r="H29" s="628">
        <f>'Cond PL'!F31</f>
        <v>13226</v>
      </c>
      <c r="I29" s="629">
        <f t="shared" si="1"/>
        <v>13226</v>
      </c>
      <c r="K29" s="623"/>
    </row>
    <row r="30" spans="2:11" ht="12.75" hidden="1">
      <c r="B30" s="445" t="s">
        <v>1480</v>
      </c>
      <c r="C30" s="629"/>
      <c r="D30" s="629"/>
      <c r="E30" s="629"/>
      <c r="F30" s="629"/>
      <c r="G30" s="629"/>
      <c r="H30" s="629"/>
      <c r="I30" s="629">
        <f t="shared" si="1"/>
        <v>0</v>
      </c>
      <c r="K30" s="623"/>
    </row>
    <row r="31" spans="3:11" ht="12.75">
      <c r="C31" s="629"/>
      <c r="D31" s="629"/>
      <c r="E31" s="629"/>
      <c r="F31" s="629"/>
      <c r="G31" s="629"/>
      <c r="H31" s="629"/>
      <c r="I31" s="629"/>
      <c r="K31" s="623"/>
    </row>
    <row r="32" spans="2:11" ht="13.5" thickBot="1">
      <c r="B32" s="445" t="s">
        <v>129</v>
      </c>
      <c r="C32" s="633">
        <f aca="true" t="shared" si="2" ref="C32:H32">SUM(C23:C30)</f>
        <v>53106</v>
      </c>
      <c r="D32" s="633">
        <f t="shared" si="2"/>
        <v>3715</v>
      </c>
      <c r="E32" s="633">
        <f t="shared" si="2"/>
        <v>377</v>
      </c>
      <c r="F32" s="633">
        <f t="shared" si="2"/>
        <v>1092</v>
      </c>
      <c r="G32" s="633">
        <f t="shared" si="2"/>
        <v>1707</v>
      </c>
      <c r="H32" s="633">
        <f t="shared" si="2"/>
        <v>23777.1</v>
      </c>
      <c r="I32" s="633">
        <f>SUM(C32:H32)</f>
        <v>83774.1</v>
      </c>
      <c r="K32" s="623"/>
    </row>
    <row r="33" spans="2:11" ht="13.5" thickTop="1">
      <c r="B33" s="634"/>
      <c r="C33" s="635"/>
      <c r="D33" s="635"/>
      <c r="E33" s="635"/>
      <c r="F33" s="635"/>
      <c r="G33" s="635"/>
      <c r="H33" s="635"/>
      <c r="I33" s="635"/>
      <c r="K33" s="623"/>
    </row>
    <row r="34" spans="3:11" ht="12.75">
      <c r="C34" s="623"/>
      <c r="D34" s="623"/>
      <c r="E34" s="623"/>
      <c r="F34" s="623"/>
      <c r="G34" s="623"/>
      <c r="H34" s="623"/>
      <c r="I34" s="623"/>
      <c r="K34" s="623"/>
    </row>
    <row r="35" ht="12.75">
      <c r="K35" s="623"/>
    </row>
    <row r="36" ht="12.75">
      <c r="K36" s="623"/>
    </row>
    <row r="37" ht="12.75">
      <c r="K37" s="623"/>
    </row>
    <row r="38" ht="12.75">
      <c r="K38" s="623"/>
    </row>
    <row r="39" ht="12.75">
      <c r="K39" s="623"/>
    </row>
    <row r="40" ht="12.75">
      <c r="K40" s="623"/>
    </row>
    <row r="41" ht="12.75">
      <c r="K41" s="623"/>
    </row>
    <row r="42" ht="12.75">
      <c r="K42" s="623"/>
    </row>
    <row r="43" ht="12.75">
      <c r="K43" s="623"/>
    </row>
    <row r="44" ht="12.75">
      <c r="K44" s="623"/>
    </row>
    <row r="45" ht="12.75">
      <c r="K45" s="623"/>
    </row>
    <row r="46" ht="12.75">
      <c r="K46" s="623"/>
    </row>
    <row r="47" ht="12.75">
      <c r="K47" s="623"/>
    </row>
    <row r="48" ht="12.75">
      <c r="K48" s="623"/>
    </row>
    <row r="49" ht="12.75">
      <c r="K49" s="623"/>
    </row>
  </sheetData>
  <printOptions/>
  <pageMargins left="0.75" right="0.75" top="0.84" bottom="1" header="0.5" footer="0.5"/>
  <pageSetup fitToHeight="1" fitToWidth="1" horizontalDpi="300" verticalDpi="300" orientation="landscape" paperSize="9" r:id="rId2"/>
  <headerFooter alignWithMargins="0">
    <oddHeader>&amp;R&amp;D  &amp;T</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59"/>
  <sheetViews>
    <sheetView workbookViewId="0" topLeftCell="A7">
      <selection activeCell="H30" sqref="H30"/>
    </sheetView>
  </sheetViews>
  <sheetFormatPr defaultColWidth="9.140625" defaultRowHeight="12.75"/>
  <cols>
    <col min="1" max="1" width="47.28125" style="367" customWidth="1"/>
    <col min="2" max="2" width="1.7109375" style="367" customWidth="1"/>
    <col min="3" max="3" width="11.28125" style="367" bestFit="1" customWidth="1"/>
    <col min="4" max="4" width="9.28125" style="367" customWidth="1"/>
    <col min="5" max="5" width="8.421875" style="367" bestFit="1" customWidth="1"/>
    <col min="6" max="6" width="10.421875" style="367" bestFit="1" customWidth="1"/>
    <col min="7" max="7" width="8.7109375" style="367" customWidth="1"/>
    <col min="8" max="8" width="8.421875" style="367" customWidth="1"/>
    <col min="9" max="9" width="11.8515625" style="367" bestFit="1" customWidth="1"/>
    <col min="10" max="10" width="10.57421875" style="367" customWidth="1"/>
    <col min="11" max="11" width="10.00390625" style="367" customWidth="1"/>
    <col min="12" max="12" width="14.00390625" style="367" customWidth="1"/>
    <col min="13" max="16384" width="8.8515625" style="367" customWidth="1"/>
  </cols>
  <sheetData>
    <row r="1" spans="1:7" ht="12.75">
      <c r="A1" s="379" t="s">
        <v>1007</v>
      </c>
      <c r="B1" s="379"/>
      <c r="C1" s="379"/>
      <c r="G1" s="368"/>
    </row>
    <row r="2" spans="1:7" ht="12.75">
      <c r="A2" s="379" t="s">
        <v>283</v>
      </c>
      <c r="G2" s="368"/>
    </row>
    <row r="3" spans="1:7" ht="12.75">
      <c r="A3" s="379" t="s">
        <v>128</v>
      </c>
      <c r="G3" s="368"/>
    </row>
    <row r="4" ht="12.75">
      <c r="G4" s="368"/>
    </row>
    <row r="5" spans="3:9" ht="12.75">
      <c r="C5" s="1125" t="s">
        <v>1374</v>
      </c>
      <c r="D5" s="1126"/>
      <c r="E5" s="382"/>
      <c r="F5" s="383"/>
      <c r="G5" s="384"/>
      <c r="H5" s="385"/>
      <c r="I5" s="380" t="s">
        <v>1375</v>
      </c>
    </row>
    <row r="6" spans="3:9" ht="12.75">
      <c r="C6" s="1127" t="s">
        <v>1376</v>
      </c>
      <c r="D6" s="1128"/>
      <c r="E6" s="1127" t="s">
        <v>1377</v>
      </c>
      <c r="F6" s="1129"/>
      <c r="G6" s="1129"/>
      <c r="H6" s="1128"/>
      <c r="I6" s="381" t="s">
        <v>1378</v>
      </c>
    </row>
    <row r="7" ht="12.75">
      <c r="G7" s="368"/>
    </row>
    <row r="8" spans="3:10" ht="12.75">
      <c r="C8" s="369" t="s">
        <v>1379</v>
      </c>
      <c r="D8" s="369" t="s">
        <v>1380</v>
      </c>
      <c r="E8" s="369" t="s">
        <v>1381</v>
      </c>
      <c r="F8" s="369" t="s">
        <v>1382</v>
      </c>
      <c r="G8" s="370" t="s">
        <v>370</v>
      </c>
      <c r="H8" s="369" t="s">
        <v>1383</v>
      </c>
      <c r="I8" s="369" t="s">
        <v>59</v>
      </c>
      <c r="J8" s="369" t="s">
        <v>329</v>
      </c>
    </row>
    <row r="9" spans="2:10" ht="12.75">
      <c r="B9" s="369"/>
      <c r="C9" s="369" t="s">
        <v>1310</v>
      </c>
      <c r="D9" s="369" t="s">
        <v>1384</v>
      </c>
      <c r="E9" s="369" t="s">
        <v>1385</v>
      </c>
      <c r="F9" s="369" t="s">
        <v>378</v>
      </c>
      <c r="G9" s="370" t="s">
        <v>378</v>
      </c>
      <c r="H9" s="369" t="s">
        <v>378</v>
      </c>
      <c r="I9" s="369" t="s">
        <v>63</v>
      </c>
      <c r="J9" s="369"/>
    </row>
    <row r="10" spans="1:10" ht="12.75">
      <c r="A10" s="379" t="s">
        <v>251</v>
      </c>
      <c r="D10" s="369" t="s">
        <v>521</v>
      </c>
      <c r="E10" s="369" t="s">
        <v>521</v>
      </c>
      <c r="F10" s="369" t="s">
        <v>521</v>
      </c>
      <c r="G10" s="370" t="s">
        <v>521</v>
      </c>
      <c r="H10" s="369" t="s">
        <v>521</v>
      </c>
      <c r="I10" s="369" t="s">
        <v>521</v>
      </c>
      <c r="J10" s="369" t="s">
        <v>521</v>
      </c>
    </row>
    <row r="11" spans="3:10" ht="12.75">
      <c r="C11" s="371"/>
      <c r="D11" s="371"/>
      <c r="E11" s="371"/>
      <c r="F11" s="371"/>
      <c r="G11" s="371"/>
      <c r="H11" s="371"/>
      <c r="I11" s="371"/>
      <c r="J11" s="371"/>
    </row>
    <row r="12" spans="3:10" ht="12.75">
      <c r="C12" s="372"/>
      <c r="D12" s="372"/>
      <c r="E12" s="372"/>
      <c r="F12" s="372"/>
      <c r="G12" s="372"/>
      <c r="H12" s="372"/>
      <c r="I12" s="372"/>
      <c r="J12" s="372"/>
    </row>
    <row r="13" spans="1:10" ht="12.75">
      <c r="A13" s="367" t="s">
        <v>1591</v>
      </c>
      <c r="C13" s="373">
        <v>53020000</v>
      </c>
      <c r="D13" s="373">
        <v>53020</v>
      </c>
      <c r="E13" s="373">
        <v>3704</v>
      </c>
      <c r="F13" s="373">
        <v>377</v>
      </c>
      <c r="G13" s="373">
        <v>464</v>
      </c>
      <c r="H13" s="373">
        <v>515</v>
      </c>
      <c r="I13" s="373">
        <v>-997</v>
      </c>
      <c r="J13" s="373">
        <f>SUM(D13:I13)</f>
        <v>57083</v>
      </c>
    </row>
    <row r="14" ht="12.75">
      <c r="G14" s="368"/>
    </row>
    <row r="15" spans="1:10" s="352" customFormat="1" ht="12.75">
      <c r="A15" s="352" t="s">
        <v>55</v>
      </c>
      <c r="C15" s="352">
        <v>55900</v>
      </c>
      <c r="D15" s="352">
        <v>56</v>
      </c>
      <c r="E15" s="352">
        <v>11</v>
      </c>
      <c r="G15" s="375"/>
      <c r="J15" s="352">
        <f aca="true" t="shared" si="0" ref="J15:J21">SUM(D15:I15)</f>
        <v>67</v>
      </c>
    </row>
    <row r="16" spans="1:10" ht="12.75">
      <c r="A16" s="367" t="s">
        <v>56</v>
      </c>
      <c r="C16" s="352">
        <v>0</v>
      </c>
      <c r="D16" s="352">
        <v>0</v>
      </c>
      <c r="E16" s="352">
        <v>0</v>
      </c>
      <c r="F16" s="352">
        <v>0</v>
      </c>
      <c r="G16" s="352">
        <v>119</v>
      </c>
      <c r="H16" s="352">
        <v>0</v>
      </c>
      <c r="I16" s="352">
        <v>-119</v>
      </c>
      <c r="J16" s="374">
        <f t="shared" si="0"/>
        <v>0</v>
      </c>
    </row>
    <row r="17" spans="1:10" ht="12.75" hidden="1">
      <c r="A17" s="367" t="s">
        <v>1373</v>
      </c>
      <c r="C17" s="352">
        <v>0</v>
      </c>
      <c r="D17" s="352">
        <v>0</v>
      </c>
      <c r="E17" s="352">
        <v>0</v>
      </c>
      <c r="F17" s="352">
        <v>0</v>
      </c>
      <c r="G17" s="352">
        <v>0</v>
      </c>
      <c r="H17" s="352">
        <v>0</v>
      </c>
      <c r="I17" s="352">
        <v>0</v>
      </c>
      <c r="J17" s="374">
        <f t="shared" si="0"/>
        <v>0</v>
      </c>
    </row>
    <row r="18" spans="1:10" ht="12.75">
      <c r="A18" s="367" t="s">
        <v>1373</v>
      </c>
      <c r="C18" s="352">
        <v>0</v>
      </c>
      <c r="D18" s="352">
        <v>0</v>
      </c>
      <c r="E18" s="352">
        <v>0</v>
      </c>
      <c r="F18" s="352">
        <v>0</v>
      </c>
      <c r="G18" s="352">
        <v>0</v>
      </c>
      <c r="H18" s="352">
        <v>108</v>
      </c>
      <c r="I18" s="352"/>
      <c r="J18" s="374">
        <f t="shared" si="0"/>
        <v>108</v>
      </c>
    </row>
    <row r="19" spans="1:10" ht="12.75">
      <c r="A19" s="367" t="s">
        <v>270</v>
      </c>
      <c r="C19" s="352">
        <v>0</v>
      </c>
      <c r="D19" s="352">
        <v>0</v>
      </c>
      <c r="E19" s="352">
        <v>0</v>
      </c>
      <c r="F19" s="352">
        <v>0</v>
      </c>
      <c r="G19" s="352">
        <v>0</v>
      </c>
      <c r="H19" s="352">
        <v>0</v>
      </c>
      <c r="I19" s="352">
        <v>0</v>
      </c>
      <c r="J19" s="374">
        <f t="shared" si="0"/>
        <v>0</v>
      </c>
    </row>
    <row r="20" spans="1:10" ht="12.75">
      <c r="A20" s="367" t="s">
        <v>256</v>
      </c>
      <c r="C20" s="352">
        <v>0</v>
      </c>
      <c r="D20" s="352">
        <v>0</v>
      </c>
      <c r="E20" s="352">
        <v>0</v>
      </c>
      <c r="F20" s="352">
        <v>0</v>
      </c>
      <c r="G20" s="352">
        <v>0</v>
      </c>
      <c r="H20" s="352">
        <v>0</v>
      </c>
      <c r="I20" s="352">
        <v>12176</v>
      </c>
      <c r="J20" s="352">
        <f t="shared" si="0"/>
        <v>12176</v>
      </c>
    </row>
    <row r="21" spans="1:10" ht="12.75">
      <c r="A21" s="367" t="s">
        <v>1480</v>
      </c>
      <c r="C21" s="352">
        <v>0</v>
      </c>
      <c r="D21" s="352">
        <v>0</v>
      </c>
      <c r="E21" s="352">
        <v>0</v>
      </c>
      <c r="F21" s="352">
        <v>0</v>
      </c>
      <c r="G21" s="352">
        <v>0</v>
      </c>
      <c r="H21" s="352">
        <v>0</v>
      </c>
      <c r="I21" s="352">
        <v>0</v>
      </c>
      <c r="J21" s="352">
        <f t="shared" si="0"/>
        <v>0</v>
      </c>
    </row>
    <row r="22" spans="4:10" ht="12.75">
      <c r="D22" s="352"/>
      <c r="E22" s="352"/>
      <c r="F22" s="352"/>
      <c r="G22" s="375"/>
      <c r="H22" s="352"/>
      <c r="I22" s="352"/>
      <c r="J22" s="352"/>
    </row>
    <row r="23" spans="1:12" ht="13.5" thickBot="1">
      <c r="A23" s="367" t="s">
        <v>127</v>
      </c>
      <c r="C23" s="386">
        <f>SUM(C13:C22)</f>
        <v>53075900</v>
      </c>
      <c r="D23" s="386">
        <f>SUM(D13:D22)</f>
        <v>53076</v>
      </c>
      <c r="E23" s="386">
        <f aca="true" t="shared" si="1" ref="E23:J23">SUM(E13:E22)</f>
        <v>3715</v>
      </c>
      <c r="F23" s="386">
        <f t="shared" si="1"/>
        <v>377</v>
      </c>
      <c r="G23" s="386">
        <f t="shared" si="1"/>
        <v>583</v>
      </c>
      <c r="H23" s="386">
        <f t="shared" si="1"/>
        <v>623</v>
      </c>
      <c r="I23" s="386">
        <f>SUM(I13:I22)+0.1</f>
        <v>11060.1</v>
      </c>
      <c r="J23" s="386">
        <f t="shared" si="1"/>
        <v>69434</v>
      </c>
      <c r="K23" s="469">
        <f>'Cond BS'!F44</f>
        <v>69434</v>
      </c>
      <c r="L23" s="470">
        <f>J23-K23</f>
        <v>0</v>
      </c>
    </row>
    <row r="24" ht="12.75">
      <c r="J24" s="373"/>
    </row>
    <row r="25" spans="1:10" ht="12.75">
      <c r="A25" s="367" t="s">
        <v>89</v>
      </c>
      <c r="C25" s="373">
        <f>+C23</f>
        <v>53075900</v>
      </c>
      <c r="D25" s="373">
        <f>+D23</f>
        <v>53076</v>
      </c>
      <c r="E25" s="373">
        <f>+E23</f>
        <v>3715</v>
      </c>
      <c r="F25" s="373">
        <f>F23</f>
        <v>377</v>
      </c>
      <c r="G25" s="373">
        <f>G23</f>
        <v>583</v>
      </c>
      <c r="H25" s="373">
        <f>+H23</f>
        <v>623</v>
      </c>
      <c r="I25" s="453">
        <f>I23</f>
        <v>11060.1</v>
      </c>
      <c r="J25" s="373">
        <f>SUM(D25:I25)</f>
        <v>69434.1</v>
      </c>
    </row>
    <row r="26" ht="12.75">
      <c r="G26" s="368"/>
    </row>
    <row r="27" spans="1:10" ht="12.75">
      <c r="A27" s="367" t="s">
        <v>1469</v>
      </c>
      <c r="C27" s="352">
        <v>0</v>
      </c>
      <c r="D27" s="373">
        <v>30</v>
      </c>
      <c r="E27" s="376">
        <v>0</v>
      </c>
      <c r="F27" s="376">
        <v>0</v>
      </c>
      <c r="G27" s="466">
        <v>0</v>
      </c>
      <c r="J27" s="373">
        <f>SUM(C27:I27)</f>
        <v>30</v>
      </c>
    </row>
    <row r="28" spans="1:10" ht="12.75">
      <c r="A28" s="367" t="s">
        <v>56</v>
      </c>
      <c r="C28" s="352">
        <v>0</v>
      </c>
      <c r="D28" s="352">
        <v>0</v>
      </c>
      <c r="E28" s="352">
        <v>0</v>
      </c>
      <c r="F28" s="352">
        <v>0</v>
      </c>
      <c r="G28" s="1079">
        <v>509</v>
      </c>
      <c r="H28" s="375">
        <v>0</v>
      </c>
      <c r="I28" s="352">
        <v>-509</v>
      </c>
      <c r="J28" s="374">
        <f aca="true" t="shared" si="2" ref="J28:J33">SUM(D28:I28)</f>
        <v>0</v>
      </c>
    </row>
    <row r="29" spans="1:10" ht="12.75">
      <c r="A29" s="367" t="s">
        <v>1373</v>
      </c>
      <c r="C29" s="352">
        <v>0</v>
      </c>
      <c r="D29" s="352">
        <v>0</v>
      </c>
      <c r="E29" s="352">
        <v>0</v>
      </c>
      <c r="F29" s="352">
        <v>0</v>
      </c>
      <c r="G29" s="352">
        <v>0</v>
      </c>
      <c r="H29" s="375">
        <v>1084</v>
      </c>
      <c r="I29" s="352">
        <v>0</v>
      </c>
      <c r="J29" s="452">
        <f t="shared" si="2"/>
        <v>1084</v>
      </c>
    </row>
    <row r="30" spans="1:10" ht="12.75">
      <c r="A30" s="367" t="s">
        <v>223</v>
      </c>
      <c r="C30" s="352">
        <v>0</v>
      </c>
      <c r="D30" s="352">
        <v>0</v>
      </c>
      <c r="E30" s="352">
        <v>0</v>
      </c>
      <c r="F30" s="352">
        <v>0</v>
      </c>
      <c r="G30" s="352">
        <v>0</v>
      </c>
      <c r="H30" s="352">
        <v>0</v>
      </c>
      <c r="I30" s="352">
        <v>0</v>
      </c>
      <c r="J30" s="374">
        <f t="shared" si="2"/>
        <v>0</v>
      </c>
    </row>
    <row r="31" spans="1:10" ht="12.75">
      <c r="A31" s="367" t="s">
        <v>256</v>
      </c>
      <c r="C31" s="352">
        <v>0</v>
      </c>
      <c r="D31" s="352">
        <v>0</v>
      </c>
      <c r="E31" s="352">
        <v>0</v>
      </c>
      <c r="F31" s="352">
        <v>0</v>
      </c>
      <c r="G31" s="352">
        <v>0</v>
      </c>
      <c r="H31" s="352">
        <v>0</v>
      </c>
      <c r="I31" s="352">
        <f>'Cond PL'!F31</f>
        <v>13226</v>
      </c>
      <c r="J31" s="352">
        <f t="shared" si="2"/>
        <v>13226</v>
      </c>
    </row>
    <row r="32" spans="1:10" ht="12.75">
      <c r="A32" s="367" t="s">
        <v>435</v>
      </c>
      <c r="C32" s="352">
        <v>0</v>
      </c>
      <c r="D32" s="352">
        <v>0</v>
      </c>
      <c r="E32" s="352">
        <v>0</v>
      </c>
      <c r="F32" s="375">
        <v>0</v>
      </c>
      <c r="G32" s="352"/>
      <c r="H32" s="352"/>
      <c r="I32" s="352">
        <v>0</v>
      </c>
      <c r="J32" s="352">
        <f t="shared" si="2"/>
        <v>0</v>
      </c>
    </row>
    <row r="33" spans="1:10" ht="12.75">
      <c r="A33" s="367" t="s">
        <v>1426</v>
      </c>
      <c r="C33" s="352">
        <v>0</v>
      </c>
      <c r="D33" s="352">
        <v>0</v>
      </c>
      <c r="E33" s="352">
        <v>0</v>
      </c>
      <c r="F33" s="352">
        <v>0</v>
      </c>
      <c r="G33" s="352">
        <v>0</v>
      </c>
      <c r="H33" s="352">
        <v>0</v>
      </c>
      <c r="I33" s="352">
        <f>-F33</f>
        <v>0</v>
      </c>
      <c r="J33" s="352">
        <f t="shared" si="2"/>
        <v>0</v>
      </c>
    </row>
    <row r="34" spans="4:10" ht="12.75">
      <c r="D34" s="352"/>
      <c r="E34" s="352"/>
      <c r="F34" s="352"/>
      <c r="G34" s="375"/>
      <c r="H34" s="352"/>
      <c r="I34" s="352"/>
      <c r="J34" s="352"/>
    </row>
    <row r="35" spans="1:12" ht="13.5" thickBot="1">
      <c r="A35" s="367" t="s">
        <v>129</v>
      </c>
      <c r="C35" s="386">
        <f aca="true" t="shared" si="3" ref="C35:I35">SUM(C25:C34)</f>
        <v>53075900</v>
      </c>
      <c r="D35" s="386">
        <f t="shared" si="3"/>
        <v>53106</v>
      </c>
      <c r="E35" s="386">
        <f t="shared" si="3"/>
        <v>3715</v>
      </c>
      <c r="F35" s="386">
        <f t="shared" si="3"/>
        <v>377</v>
      </c>
      <c r="G35" s="386">
        <f t="shared" si="3"/>
        <v>1092</v>
      </c>
      <c r="H35" s="386">
        <f>SUM(H25:H34)</f>
        <v>1707</v>
      </c>
      <c r="I35" s="404">
        <f t="shared" si="3"/>
        <v>23777.1</v>
      </c>
      <c r="J35" s="404">
        <f>SUM(J25:J34)</f>
        <v>83774.1</v>
      </c>
      <c r="K35" s="471">
        <f>+'Cond BS'!D44</f>
        <v>84152</v>
      </c>
      <c r="L35" s="472">
        <f>+J35-K35</f>
        <v>-377.8999999999942</v>
      </c>
    </row>
    <row r="36" spans="8:11" ht="12.75">
      <c r="H36" s="373"/>
      <c r="J36" s="373"/>
      <c r="K36" s="373">
        <f>+K35-J35</f>
        <v>377.8999999999942</v>
      </c>
    </row>
    <row r="37" spans="1:10" ht="12.75" hidden="1">
      <c r="A37" s="377" t="s">
        <v>1437</v>
      </c>
      <c r="B37" s="377"/>
      <c r="C37" s="377"/>
      <c r="D37" s="378"/>
      <c r="E37" s="377"/>
      <c r="F37" s="377"/>
      <c r="G37" s="377"/>
      <c r="H37" s="377"/>
      <c r="I37" s="377"/>
      <c r="J37" s="378">
        <f>+'Cond BS'!D44</f>
        <v>84152</v>
      </c>
    </row>
    <row r="38" ht="12.75" hidden="1">
      <c r="J38" s="378">
        <f>+J35-J37</f>
        <v>-377.8999999999942</v>
      </c>
    </row>
    <row r="39" spans="4:10" ht="12.75">
      <c r="D39" s="352"/>
      <c r="E39" s="352"/>
      <c r="F39" s="352"/>
      <c r="G39" s="352"/>
      <c r="H39" s="352"/>
      <c r="I39" s="352"/>
      <c r="J39" s="378"/>
    </row>
    <row r="40" ht="12.75">
      <c r="J40" s="352"/>
    </row>
    <row r="41" spans="1:7" ht="12.75">
      <c r="A41" s="379" t="s">
        <v>250</v>
      </c>
      <c r="B41" s="379"/>
      <c r="C41" s="379"/>
      <c r="G41" s="368"/>
    </row>
    <row r="42" spans="3:10" ht="12.75">
      <c r="C42" s="372"/>
      <c r="D42" s="372"/>
      <c r="E42" s="372"/>
      <c r="F42" s="372"/>
      <c r="G42" s="372"/>
      <c r="H42" s="372"/>
      <c r="I42" s="372"/>
      <c r="J42" s="372"/>
    </row>
    <row r="43" spans="1:10" ht="12.75">
      <c r="A43" s="367" t="str">
        <f>+A13</f>
        <v>Balance at 1 February 2005</v>
      </c>
      <c r="C43" s="373">
        <v>53020000</v>
      </c>
      <c r="D43" s="373">
        <v>53020</v>
      </c>
      <c r="E43" s="373">
        <v>3704</v>
      </c>
      <c r="F43" s="373">
        <v>0</v>
      </c>
      <c r="G43" s="373">
        <v>0</v>
      </c>
      <c r="H43" s="373">
        <v>0</v>
      </c>
      <c r="I43" s="373">
        <v>-62414</v>
      </c>
      <c r="J43" s="373">
        <f>SUM(D43:I43)</f>
        <v>-5690</v>
      </c>
    </row>
    <row r="44" ht="12.75">
      <c r="G44" s="368"/>
    </row>
    <row r="45" spans="1:10" ht="12.75">
      <c r="A45" s="367" t="s">
        <v>55</v>
      </c>
      <c r="C45" s="352">
        <v>55900</v>
      </c>
      <c r="D45" s="352">
        <v>56</v>
      </c>
      <c r="E45" s="352">
        <v>11</v>
      </c>
      <c r="F45" s="352">
        <v>0</v>
      </c>
      <c r="G45" s="375">
        <v>0</v>
      </c>
      <c r="H45" s="375">
        <v>0</v>
      </c>
      <c r="J45" s="374">
        <f>SUM(D45:I45)</f>
        <v>67</v>
      </c>
    </row>
    <row r="46" spans="1:10" ht="12.75">
      <c r="A46" s="367" t="s">
        <v>252</v>
      </c>
      <c r="C46" s="352">
        <v>0</v>
      </c>
      <c r="D46" s="352">
        <v>0</v>
      </c>
      <c r="E46" s="352">
        <v>0</v>
      </c>
      <c r="F46" s="352">
        <v>0</v>
      </c>
      <c r="G46" s="375">
        <v>0</v>
      </c>
      <c r="H46" s="352">
        <v>0</v>
      </c>
      <c r="I46" s="352">
        <v>0</v>
      </c>
      <c r="J46" s="374">
        <f>SUM(D46:I46)</f>
        <v>0</v>
      </c>
    </row>
    <row r="47" spans="1:10" ht="12.75">
      <c r="A47" s="367" t="s">
        <v>253</v>
      </c>
      <c r="C47" s="352">
        <v>0</v>
      </c>
      <c r="D47" s="352">
        <v>0</v>
      </c>
      <c r="E47" s="352">
        <v>0</v>
      </c>
      <c r="F47" s="352">
        <v>0</v>
      </c>
      <c r="G47" s="375">
        <v>0</v>
      </c>
      <c r="H47" s="352">
        <v>0</v>
      </c>
      <c r="I47" s="352">
        <v>301</v>
      </c>
      <c r="J47" s="352">
        <f>SUM(D47:I47)</f>
        <v>301</v>
      </c>
    </row>
    <row r="48" spans="4:10" ht="12.75">
      <c r="D48" s="352"/>
      <c r="E48" s="352"/>
      <c r="F48" s="352"/>
      <c r="G48" s="375"/>
      <c r="H48" s="352"/>
      <c r="I48" s="352"/>
      <c r="J48" s="352"/>
    </row>
    <row r="49" spans="1:10" ht="13.5" thickBot="1">
      <c r="A49" s="367" t="str">
        <f>+A23</f>
        <v>Balance at 31 January 2006</v>
      </c>
      <c r="C49" s="386">
        <f aca="true" t="shared" si="4" ref="C49:J49">SUM(C43:C48)</f>
        <v>53075900</v>
      </c>
      <c r="D49" s="386">
        <f t="shared" si="4"/>
        <v>53076</v>
      </c>
      <c r="E49" s="386">
        <f t="shared" si="4"/>
        <v>3715</v>
      </c>
      <c r="F49" s="386">
        <f t="shared" si="4"/>
        <v>0</v>
      </c>
      <c r="G49" s="386">
        <f t="shared" si="4"/>
        <v>0</v>
      </c>
      <c r="H49" s="386">
        <f t="shared" si="4"/>
        <v>0</v>
      </c>
      <c r="I49" s="386">
        <f t="shared" si="4"/>
        <v>-62113</v>
      </c>
      <c r="J49" s="386">
        <f t="shared" si="4"/>
        <v>-5322</v>
      </c>
    </row>
    <row r="50" ht="12.75">
      <c r="J50" s="373"/>
    </row>
    <row r="51" spans="1:10" ht="12.75">
      <c r="A51" s="367" t="str">
        <f>+A25</f>
        <v>Balance at 1 February 2006</v>
      </c>
      <c r="C51" s="373">
        <f>+C49</f>
        <v>53075900</v>
      </c>
      <c r="D51" s="373">
        <f aca="true" t="shared" si="5" ref="D51:I51">+D49</f>
        <v>53076</v>
      </c>
      <c r="E51" s="373">
        <f t="shared" si="5"/>
        <v>3715</v>
      </c>
      <c r="F51" s="373">
        <f t="shared" si="5"/>
        <v>0</v>
      </c>
      <c r="G51" s="373">
        <f t="shared" si="5"/>
        <v>0</v>
      </c>
      <c r="H51" s="373">
        <f t="shared" si="5"/>
        <v>0</v>
      </c>
      <c r="I51" s="373">
        <f t="shared" si="5"/>
        <v>-62113</v>
      </c>
      <c r="J51" s="373">
        <f>SUM(D51:I51)</f>
        <v>-5322</v>
      </c>
    </row>
    <row r="52" ht="12.75">
      <c r="G52" s="368"/>
    </row>
    <row r="53" spans="1:10" ht="12.75">
      <c r="A53" s="367" t="s">
        <v>1468</v>
      </c>
      <c r="C53" s="352"/>
      <c r="D53" s="373">
        <f>C53/1000</f>
        <v>0</v>
      </c>
      <c r="E53" s="509"/>
      <c r="G53" s="368"/>
      <c r="J53" s="352">
        <f>SUM(D53:I53)</f>
        <v>0</v>
      </c>
    </row>
    <row r="54" spans="1:10" ht="12.75">
      <c r="A54" s="367" t="s">
        <v>1372</v>
      </c>
      <c r="C54" s="352">
        <v>0</v>
      </c>
      <c r="D54" s="352">
        <v>0</v>
      </c>
      <c r="E54" s="352">
        <v>0</v>
      </c>
      <c r="F54" s="352">
        <v>0</v>
      </c>
      <c r="G54" s="375">
        <v>0</v>
      </c>
      <c r="H54" s="352">
        <v>0</v>
      </c>
      <c r="I54" s="352">
        <f>'P&amp;L'!B78</f>
        <v>1065.3779999999997</v>
      </c>
      <c r="J54" s="352">
        <f>SUM(D54:I54)</f>
        <v>1065.3779999999997</v>
      </c>
    </row>
    <row r="55" spans="1:10" ht="12.75" hidden="1">
      <c r="A55" s="367" t="s">
        <v>1641</v>
      </c>
      <c r="D55" s="352"/>
      <c r="E55" s="352"/>
      <c r="F55" s="352"/>
      <c r="G55" s="375"/>
      <c r="H55" s="352"/>
      <c r="I55" s="352"/>
      <c r="J55" s="352">
        <f>SUM(D55:I55)</f>
        <v>0</v>
      </c>
    </row>
    <row r="56" spans="1:10" ht="12.75" hidden="1">
      <c r="A56" s="367" t="s">
        <v>1480</v>
      </c>
      <c r="D56" s="352"/>
      <c r="E56" s="352"/>
      <c r="F56" s="352"/>
      <c r="G56" s="375"/>
      <c r="H56" s="352"/>
      <c r="I56" s="352"/>
      <c r="J56" s="352">
        <f>SUM(D56:I56)</f>
        <v>0</v>
      </c>
    </row>
    <row r="57" spans="4:10" ht="12.75">
      <c r="D57" s="352"/>
      <c r="E57" s="352"/>
      <c r="F57" s="352"/>
      <c r="G57" s="375"/>
      <c r="H57" s="352"/>
      <c r="I57" s="352"/>
      <c r="J57" s="352"/>
    </row>
    <row r="58" spans="1:12" ht="13.5" thickBot="1">
      <c r="A58" s="367" t="str">
        <f>+A35</f>
        <v>Balance at 31 January 2007</v>
      </c>
      <c r="C58" s="386">
        <f aca="true" t="shared" si="6" ref="C58:I58">SUM(C51:C57)</f>
        <v>53075900</v>
      </c>
      <c r="D58" s="386">
        <f t="shared" si="6"/>
        <v>53076</v>
      </c>
      <c r="E58" s="386">
        <f t="shared" si="6"/>
        <v>3715</v>
      </c>
      <c r="F58" s="386">
        <f t="shared" si="6"/>
        <v>0</v>
      </c>
      <c r="G58" s="386">
        <f t="shared" si="6"/>
        <v>0</v>
      </c>
      <c r="H58" s="386">
        <f t="shared" si="6"/>
        <v>0</v>
      </c>
      <c r="I58" s="386">
        <f t="shared" si="6"/>
        <v>-61047.622</v>
      </c>
      <c r="J58" s="386">
        <f>SUM(J51:J57)</f>
        <v>-4256.622</v>
      </c>
      <c r="K58" s="469">
        <f>+'B. Sheet'!K82</f>
        <v>79538.99299999999</v>
      </c>
      <c r="L58" s="573">
        <f>+J58-K58</f>
        <v>-83795.61499999999</v>
      </c>
    </row>
    <row r="59" spans="8:10" ht="12.75">
      <c r="H59" s="373"/>
      <c r="J59" s="373"/>
    </row>
  </sheetData>
  <mergeCells count="3">
    <mergeCell ref="C5:D5"/>
    <mergeCell ref="C6:D6"/>
    <mergeCell ref="E6:H6"/>
  </mergeCells>
  <printOptions/>
  <pageMargins left="0.5" right="0.25" top="0.25" bottom="0" header="0.24" footer="0.24"/>
  <pageSetup fitToHeight="1" fitToWidth="1" horizontalDpi="300" verticalDpi="300" orientation="landscape" paperSize="9" scale="85" r:id="rId2"/>
  <headerFooter alignWithMargins="0">
    <oddHeader>&amp;R&amp;D  &amp;T</oddHeader>
  </headerFooter>
  <drawing r:id="rId1"/>
</worksheet>
</file>

<file path=xl/worksheets/sheet9.xml><?xml version="1.0" encoding="utf-8"?>
<worksheet xmlns="http://schemas.openxmlformats.org/spreadsheetml/2006/main" xmlns:r="http://schemas.openxmlformats.org/officeDocument/2006/relationships">
  <dimension ref="A1:AQ149"/>
  <sheetViews>
    <sheetView zoomScale="90" zoomScaleNormal="90" workbookViewId="0" topLeftCell="A1">
      <pane xSplit="1" ySplit="6" topLeftCell="B32" activePane="bottomRight" state="frozen"/>
      <selection pane="topLeft" activeCell="A1" sqref="A1"/>
      <selection pane="topRight" activeCell="B1" sqref="B1"/>
      <selection pane="bottomLeft" activeCell="A7" sqref="A7"/>
      <selection pane="bottomRight" activeCell="J69" sqref="J69"/>
    </sheetView>
  </sheetViews>
  <sheetFormatPr defaultColWidth="9.140625" defaultRowHeight="12.75"/>
  <cols>
    <col min="1" max="1" width="31.421875" style="114" customWidth="1"/>
    <col min="2" max="2" width="11.7109375" style="114" customWidth="1"/>
    <col min="3" max="3" width="12.00390625" style="220" customWidth="1"/>
    <col min="4" max="4" width="11.140625" style="221" customWidth="1"/>
    <col min="5" max="5" width="2.7109375" style="221" customWidth="1"/>
    <col min="6" max="6" width="11.421875" style="221" customWidth="1"/>
    <col min="7" max="7" width="9.8515625" style="221" customWidth="1"/>
    <col min="8" max="8" width="10.57421875" style="222" customWidth="1"/>
    <col min="9" max="9" width="44.140625" style="222" customWidth="1"/>
    <col min="10" max="11" width="8.8515625" style="222" customWidth="1"/>
    <col min="12" max="19" width="8.8515625" style="115" customWidth="1"/>
    <col min="20" max="43" width="8.8515625" style="223" customWidth="1"/>
    <col min="44" max="16384" width="8.8515625" style="114" customWidth="1"/>
  </cols>
  <sheetData>
    <row r="1" spans="1:2" ht="15">
      <c r="A1" s="219" t="s">
        <v>1007</v>
      </c>
      <c r="B1" s="219"/>
    </row>
    <row r="2" spans="1:2" ht="15">
      <c r="A2" s="219" t="s">
        <v>1639</v>
      </c>
      <c r="B2" s="219"/>
    </row>
    <row r="4" spans="2:43" s="224" customFormat="1" ht="15">
      <c r="B4" s="225" t="s">
        <v>1640</v>
      </c>
      <c r="C4" s="225" t="s">
        <v>1573</v>
      </c>
      <c r="D4" s="226"/>
      <c r="E4" s="226"/>
      <c r="F4" s="226"/>
      <c r="G4" s="226"/>
      <c r="H4" s="227"/>
      <c r="I4" s="227"/>
      <c r="J4" s="227"/>
      <c r="K4" s="227"/>
      <c r="L4" s="228"/>
      <c r="M4" s="228"/>
      <c r="N4" s="228"/>
      <c r="O4" s="228"/>
      <c r="P4" s="228"/>
      <c r="Q4" s="228"/>
      <c r="R4" s="228"/>
      <c r="S4" s="228"/>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row>
    <row r="5" spans="2:43" s="224" customFormat="1" ht="15">
      <c r="B5" s="225" t="s">
        <v>317</v>
      </c>
      <c r="C5" s="225" t="s">
        <v>317</v>
      </c>
      <c r="D5" s="226" t="s">
        <v>1509</v>
      </c>
      <c r="E5" s="226"/>
      <c r="F5" s="226" t="s">
        <v>374</v>
      </c>
      <c r="G5" s="226" t="s">
        <v>786</v>
      </c>
      <c r="H5" s="227" t="s">
        <v>1510</v>
      </c>
      <c r="I5" s="227" t="s">
        <v>1511</v>
      </c>
      <c r="J5" s="227"/>
      <c r="K5" s="227"/>
      <c r="L5" s="228"/>
      <c r="M5" s="228"/>
      <c r="N5" s="228"/>
      <c r="O5" s="228"/>
      <c r="P5" s="228"/>
      <c r="Q5" s="228"/>
      <c r="R5" s="228"/>
      <c r="S5" s="228"/>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row>
    <row r="6" spans="2:3" ht="4.5" customHeight="1">
      <c r="B6" s="117"/>
      <c r="C6" s="225"/>
    </row>
    <row r="7" spans="1:9" ht="15">
      <c r="A7" s="230" t="s">
        <v>1575</v>
      </c>
      <c r="B7" s="221">
        <f>+'Cond BS'!D12</f>
        <v>53760</v>
      </c>
      <c r="C7" s="221">
        <f>+'Cond BS'!F12</f>
        <v>50015</v>
      </c>
      <c r="D7" s="221">
        <f>+B7-C7</f>
        <v>3745</v>
      </c>
      <c r="F7" s="221">
        <f>+'P&amp;L'!U92</f>
        <v>13696.248</v>
      </c>
      <c r="I7" s="231" t="s">
        <v>1512</v>
      </c>
    </row>
    <row r="8" spans="1:9" ht="15">
      <c r="A8" s="114" t="s">
        <v>1574</v>
      </c>
      <c r="B8" s="117"/>
      <c r="C8" s="232"/>
      <c r="F8" s="221">
        <f>-'P&amp;L'!Y25-'P&amp;L'!Y26</f>
        <v>-1555.3212</v>
      </c>
      <c r="I8" s="231" t="s">
        <v>1513</v>
      </c>
    </row>
    <row r="9" spans="2:9" ht="15">
      <c r="B9" s="117"/>
      <c r="C9" s="232"/>
      <c r="F9" s="221">
        <f>-'FA'!B16</f>
        <v>0</v>
      </c>
      <c r="I9" s="231" t="s">
        <v>1514</v>
      </c>
    </row>
    <row r="10" spans="2:9" ht="15">
      <c r="B10" s="117"/>
      <c r="C10" s="232"/>
      <c r="F10" s="221">
        <f>-reserve!D90/1000+reserve!F90/1000</f>
        <v>173.24688000000003</v>
      </c>
      <c r="I10" s="231" t="s">
        <v>1584</v>
      </c>
    </row>
    <row r="11" spans="2:9" ht="15">
      <c r="B11" s="117"/>
      <c r="C11" s="232"/>
      <c r="F11" s="221">
        <f>-'Cond BS'!D14+'Cond BS'!F14</f>
        <v>1009</v>
      </c>
      <c r="I11" s="231" t="s">
        <v>1585</v>
      </c>
    </row>
    <row r="12" spans="2:9" ht="15">
      <c r="B12" s="117"/>
      <c r="C12" s="232"/>
      <c r="F12" s="221">
        <f>-'FA'!C16</f>
        <v>-1572.661</v>
      </c>
      <c r="H12" s="222">
        <f>SUM(F7:F12)</f>
        <v>11750.51268</v>
      </c>
      <c r="I12" s="231" t="s">
        <v>1515</v>
      </c>
    </row>
    <row r="13" spans="2:9" ht="4.5" customHeight="1">
      <c r="B13" s="117"/>
      <c r="C13" s="232"/>
      <c r="I13" s="231"/>
    </row>
    <row r="14" spans="1:9" ht="15">
      <c r="A14" s="114" t="s">
        <v>1578</v>
      </c>
      <c r="B14" s="221">
        <f>+'Cond BS'!D14</f>
        <v>2009</v>
      </c>
      <c r="C14" s="221">
        <f>+'Cond BS'!F14</f>
        <v>3018</v>
      </c>
      <c r="D14" s="221">
        <f>+B14-C14</f>
        <v>-1009</v>
      </c>
      <c r="F14" s="233">
        <v>-216.888</v>
      </c>
      <c r="I14" s="231" t="s">
        <v>1532</v>
      </c>
    </row>
    <row r="15" spans="2:9" ht="15">
      <c r="B15" s="221"/>
      <c r="C15" s="221"/>
      <c r="F15" s="233">
        <f>-D14-F14</f>
        <v>1225.888</v>
      </c>
      <c r="H15" s="222">
        <f>SUM(F14:F15)</f>
        <v>1008.9999999999999</v>
      </c>
      <c r="I15" s="231" t="s">
        <v>1587</v>
      </c>
    </row>
    <row r="16" spans="2:9" ht="15" hidden="1">
      <c r="B16" s="221"/>
      <c r="C16" s="221"/>
      <c r="F16" s="233"/>
      <c r="I16" s="231"/>
    </row>
    <row r="17" spans="2:9" ht="15" hidden="1">
      <c r="B17" s="221"/>
      <c r="C17" s="221"/>
      <c r="F17" s="233"/>
      <c r="I17" s="231"/>
    </row>
    <row r="18" spans="2:9" ht="4.5" customHeight="1">
      <c r="B18" s="117"/>
      <c r="C18" s="232"/>
      <c r="I18" s="231"/>
    </row>
    <row r="19" spans="1:9" ht="15">
      <c r="A19" s="114" t="s">
        <v>1516</v>
      </c>
      <c r="B19" s="221">
        <f>+'Cond BS'!D16</f>
        <v>10581</v>
      </c>
      <c r="C19" s="221">
        <f>+'Cond BS'!F16</f>
        <v>8746</v>
      </c>
      <c r="D19" s="221">
        <f>+B19-C19</f>
        <v>1835</v>
      </c>
      <c r="F19" s="233">
        <f>-FJK!H38/1000</f>
        <v>-1381.121</v>
      </c>
      <c r="I19" s="231" t="s">
        <v>1576</v>
      </c>
    </row>
    <row r="20" spans="2:9" ht="15">
      <c r="B20" s="117"/>
      <c r="C20" s="117"/>
      <c r="F20" s="233">
        <f>-FJK!H68/1000-FJK!H69/1000</f>
        <v>0</v>
      </c>
      <c r="I20" s="231" t="s">
        <v>1517</v>
      </c>
    </row>
    <row r="21" spans="2:9" ht="15">
      <c r="B21" s="117"/>
      <c r="C21" s="117"/>
      <c r="F21" s="233">
        <f>-FJK!H74/1000</f>
        <v>-1879.786</v>
      </c>
      <c r="H21" s="222">
        <f>SUM(F19:F21)</f>
        <v>-3260.907</v>
      </c>
      <c r="I21" s="231" t="s">
        <v>1518</v>
      </c>
    </row>
    <row r="22" spans="2:9" ht="15" hidden="1">
      <c r="B22" s="117"/>
      <c r="C22" s="117"/>
      <c r="F22" s="233"/>
      <c r="I22" s="231" t="s">
        <v>1519</v>
      </c>
    </row>
    <row r="23" spans="2:9" ht="15" hidden="1">
      <c r="B23" s="117"/>
      <c r="C23" s="232"/>
      <c r="F23" s="234"/>
      <c r="I23" s="231" t="s">
        <v>1520</v>
      </c>
    </row>
    <row r="24" spans="2:9" ht="4.5" customHeight="1">
      <c r="B24" s="117"/>
      <c r="C24" s="232"/>
      <c r="I24" s="231"/>
    </row>
    <row r="25" spans="1:9" ht="15">
      <c r="A25" s="230" t="s">
        <v>1521</v>
      </c>
      <c r="B25" s="221">
        <f>+'Cond BS'!D18</f>
        <v>2845</v>
      </c>
      <c r="C25" s="221">
        <f>+'Cond BS'!F18</f>
        <v>2895</v>
      </c>
      <c r="D25" s="221">
        <f>+B25-C25</f>
        <v>-50</v>
      </c>
      <c r="F25" s="233">
        <f>-D25</f>
        <v>50</v>
      </c>
      <c r="H25" s="222">
        <f>+F25</f>
        <v>50</v>
      </c>
      <c r="I25" s="231" t="s">
        <v>1577</v>
      </c>
    </row>
    <row r="26" spans="1:9" ht="4.5" customHeight="1">
      <c r="A26" s="230"/>
      <c r="B26" s="235"/>
      <c r="C26" s="232"/>
      <c r="F26" s="233"/>
      <c r="I26" s="231"/>
    </row>
    <row r="27" spans="1:9" ht="15">
      <c r="A27" s="230" t="s">
        <v>1522</v>
      </c>
      <c r="B27" s="235">
        <v>0</v>
      </c>
      <c r="C27" s="232">
        <v>0</v>
      </c>
      <c r="D27" s="221">
        <f>+B27-C27</f>
        <v>0</v>
      </c>
      <c r="F27" s="233"/>
      <c r="I27" s="231"/>
    </row>
    <row r="28" spans="1:9" ht="15" hidden="1">
      <c r="A28" s="230"/>
      <c r="B28" s="235"/>
      <c r="C28" s="232"/>
      <c r="F28" s="234"/>
      <c r="I28" s="231"/>
    </row>
    <row r="29" spans="1:9" ht="4.5" customHeight="1" hidden="1">
      <c r="A29" s="230"/>
      <c r="B29" s="235"/>
      <c r="C29" s="232"/>
      <c r="I29" s="231"/>
    </row>
    <row r="30" spans="1:9" ht="15" hidden="1">
      <c r="A30" s="230"/>
      <c r="B30" s="235"/>
      <c r="C30" s="232"/>
      <c r="F30" s="233"/>
      <c r="I30" s="231"/>
    </row>
    <row r="31" spans="1:9" ht="15" hidden="1">
      <c r="A31" s="230"/>
      <c r="B31" s="235"/>
      <c r="C31" s="232"/>
      <c r="F31" s="234"/>
      <c r="I31" s="231"/>
    </row>
    <row r="32" spans="1:9" ht="4.5" customHeight="1">
      <c r="A32" s="230"/>
      <c r="B32" s="235"/>
      <c r="C32" s="232"/>
      <c r="I32" s="231"/>
    </row>
    <row r="33" spans="1:9" ht="15">
      <c r="A33" s="230" t="s">
        <v>1523</v>
      </c>
      <c r="B33" s="235">
        <v>0</v>
      </c>
      <c r="C33" s="232">
        <v>0</v>
      </c>
      <c r="D33" s="221">
        <f>+B33-C33</f>
        <v>0</v>
      </c>
      <c r="F33" s="233">
        <v>0</v>
      </c>
      <c r="I33" s="231"/>
    </row>
    <row r="34" spans="1:9" ht="4.5" customHeight="1">
      <c r="A34" s="230"/>
      <c r="B34" s="235"/>
      <c r="C34" s="232"/>
      <c r="H34"/>
      <c r="I34" s="231"/>
    </row>
    <row r="35" spans="1:9" ht="15">
      <c r="A35" s="230"/>
      <c r="B35" s="235"/>
      <c r="C35" s="232"/>
      <c r="F35" s="236"/>
      <c r="G35" s="237"/>
      <c r="H35" s="238"/>
      <c r="I35" s="239"/>
    </row>
    <row r="36" spans="1:9" ht="15">
      <c r="A36" s="230"/>
      <c r="B36" s="235"/>
      <c r="C36" s="232"/>
      <c r="F36" s="237"/>
      <c r="I36" s="231"/>
    </row>
    <row r="37" spans="1:6" ht="15">
      <c r="A37" s="219" t="s">
        <v>1524</v>
      </c>
      <c r="B37" s="235"/>
      <c r="C37" s="232"/>
      <c r="F37" s="237"/>
    </row>
    <row r="38" spans="1:9" ht="15">
      <c r="A38" s="230" t="s">
        <v>1525</v>
      </c>
      <c r="B38" s="221">
        <f>+'Cond BS'!D24</f>
        <v>26861</v>
      </c>
      <c r="C38" s="221">
        <f>+'Cond BS'!F24</f>
        <v>27737</v>
      </c>
      <c r="D38" s="221">
        <f>+B38-C38</f>
        <v>-876</v>
      </c>
      <c r="F38" s="233">
        <f>-'Cond BS'!D24+'Cond BS'!F24-F41</f>
        <v>876</v>
      </c>
      <c r="I38" s="231" t="s">
        <v>1526</v>
      </c>
    </row>
    <row r="39" spans="1:9" ht="15" hidden="1">
      <c r="A39" s="230"/>
      <c r="B39" s="235"/>
      <c r="C39" s="232"/>
      <c r="F39" s="233"/>
      <c r="I39" s="231" t="s">
        <v>1532</v>
      </c>
    </row>
    <row r="40" spans="1:9" ht="15" hidden="1">
      <c r="A40" s="230"/>
      <c r="B40" s="235"/>
      <c r="C40" s="232"/>
      <c r="F40" s="233"/>
      <c r="I40" s="231" t="s">
        <v>1533</v>
      </c>
    </row>
    <row r="41" spans="2:9" ht="15">
      <c r="B41" s="117"/>
      <c r="C41" s="232"/>
      <c r="F41" s="233">
        <f>-'P&amp;L'!Y15</f>
        <v>0</v>
      </c>
      <c r="H41" s="240">
        <f>SUM(F38:F41)</f>
        <v>876</v>
      </c>
      <c r="I41" s="231" t="s">
        <v>1534</v>
      </c>
    </row>
    <row r="42" spans="2:9" ht="4.5" customHeight="1">
      <c r="B42" s="117"/>
      <c r="C42" s="232"/>
      <c r="F42" s="233"/>
      <c r="I42" s="231"/>
    </row>
    <row r="43" spans="1:9" ht="15">
      <c r="A43" s="230" t="s">
        <v>1535</v>
      </c>
      <c r="B43" s="221">
        <f>+'Cond BS'!D25</f>
        <v>35613.000000000015</v>
      </c>
      <c r="C43" s="221">
        <f>+'Cond BS'!F25</f>
        <v>49873</v>
      </c>
      <c r="D43" s="221">
        <f>+B43-C43</f>
        <v>-14259.999999999985</v>
      </c>
      <c r="F43" s="233">
        <f>+'Cond BS'!F25-'Cond BS'!D25-'cf work'!F46</f>
        <v>14259.999999999985</v>
      </c>
      <c r="H43" s="231"/>
      <c r="I43" s="231" t="s">
        <v>1537</v>
      </c>
    </row>
    <row r="44" spans="1:9" ht="15" hidden="1">
      <c r="A44" s="230"/>
      <c r="B44" s="235"/>
      <c r="C44" s="232"/>
      <c r="F44" s="233">
        <f>-F39</f>
        <v>0</v>
      </c>
      <c r="I44" s="231" t="s">
        <v>1532</v>
      </c>
    </row>
    <row r="45" spans="1:9" ht="15" hidden="1">
      <c r="A45" s="230"/>
      <c r="B45" s="235"/>
      <c r="C45" s="232"/>
      <c r="F45" s="233"/>
      <c r="I45" s="231" t="s">
        <v>1536</v>
      </c>
    </row>
    <row r="46" spans="2:9" ht="15">
      <c r="B46" s="117"/>
      <c r="C46" s="232"/>
      <c r="F46" s="233">
        <f>-'P&amp;L'!Y70</f>
        <v>0</v>
      </c>
      <c r="H46" s="240">
        <f>SUM(F43:F46)</f>
        <v>14259.999999999985</v>
      </c>
      <c r="I46" s="231" t="s">
        <v>1520</v>
      </c>
    </row>
    <row r="47" spans="2:9" ht="4.5" customHeight="1">
      <c r="B47" s="117"/>
      <c r="C47" s="232"/>
      <c r="F47" s="233"/>
      <c r="I47" s="231"/>
    </row>
    <row r="48" spans="1:9" ht="15">
      <c r="A48" s="230" t="s">
        <v>1221</v>
      </c>
      <c r="B48" s="221">
        <f>+'Cond BS'!D26</f>
        <v>1426</v>
      </c>
      <c r="C48" s="221">
        <f>+'Cond BS'!F26</f>
        <v>1148</v>
      </c>
      <c r="D48" s="221">
        <f>+B48-C48</f>
        <v>278</v>
      </c>
      <c r="F48" s="234">
        <f>-D48</f>
        <v>-278</v>
      </c>
      <c r="H48" s="240">
        <f>+F48</f>
        <v>-278</v>
      </c>
      <c r="I48" s="231" t="s">
        <v>1538</v>
      </c>
    </row>
    <row r="49" spans="2:9" ht="4.5" customHeight="1">
      <c r="B49" s="221"/>
      <c r="C49" s="221"/>
      <c r="I49" s="231"/>
    </row>
    <row r="50" spans="1:9" ht="15">
      <c r="A50" s="230" t="s">
        <v>1539</v>
      </c>
      <c r="B50" s="221">
        <f>+'Cond BS'!D27</f>
        <v>46049</v>
      </c>
      <c r="C50" s="221">
        <f>+'Cond BS'!F27</f>
        <v>21870</v>
      </c>
      <c r="D50" s="221">
        <f>+B50-C50</f>
        <v>24179</v>
      </c>
      <c r="G50" s="221">
        <f>-D50</f>
        <v>-24179</v>
      </c>
      <c r="H50" s="222">
        <f>+G50</f>
        <v>-24179</v>
      </c>
      <c r="I50" s="231" t="s">
        <v>1588</v>
      </c>
    </row>
    <row r="51" spans="2:9" ht="4.5" customHeight="1">
      <c r="B51" s="117"/>
      <c r="C51" s="232"/>
      <c r="H51" s="241"/>
      <c r="I51" s="231"/>
    </row>
    <row r="52" spans="2:3" ht="15">
      <c r="B52" s="242">
        <f>SUM(B38:B50)</f>
        <v>109949.00000000001</v>
      </c>
      <c r="C52" s="242">
        <f>SUM(C38:C50)</f>
        <v>100628</v>
      </c>
    </row>
    <row r="53" spans="2:3" ht="15">
      <c r="B53" s="117"/>
      <c r="C53" s="232"/>
    </row>
    <row r="54" spans="1:3" ht="15">
      <c r="A54" s="219" t="s">
        <v>1540</v>
      </c>
      <c r="B54" s="117"/>
      <c r="C54" s="232"/>
    </row>
    <row r="55" spans="1:9" ht="15">
      <c r="A55" s="114" t="s">
        <v>1541</v>
      </c>
      <c r="B55" s="221">
        <f>+'Cond BS'!D31</f>
        <v>21305</v>
      </c>
      <c r="C55" s="221">
        <f>+'Cond BS'!F31</f>
        <v>28361</v>
      </c>
      <c r="D55" s="221">
        <f>+B55-C55</f>
        <v>-7056</v>
      </c>
      <c r="F55" s="236">
        <f>D55-F56</f>
        <v>-7056</v>
      </c>
      <c r="G55" s="95"/>
      <c r="H55" s="238"/>
      <c r="I55" s="231" t="s">
        <v>1586</v>
      </c>
    </row>
    <row r="56" spans="2:9" ht="15">
      <c r="B56" s="221"/>
      <c r="C56" s="221"/>
      <c r="F56" s="236">
        <f>+'B. Sheet'!Z58</f>
        <v>0</v>
      </c>
      <c r="G56" s="95"/>
      <c r="H56" s="238">
        <f>SUM(F55:F56)</f>
        <v>-7056</v>
      </c>
      <c r="I56" s="231" t="s">
        <v>1592</v>
      </c>
    </row>
    <row r="57" spans="2:9" ht="15" hidden="1">
      <c r="B57" s="221"/>
      <c r="C57" s="221"/>
      <c r="F57" s="236"/>
      <c r="G57" s="95"/>
      <c r="H57" s="238"/>
      <c r="I57" s="243" t="s">
        <v>1543</v>
      </c>
    </row>
    <row r="58" spans="2:9" ht="15" hidden="1">
      <c r="B58" s="221"/>
      <c r="C58" s="221"/>
      <c r="F58" s="236"/>
      <c r="G58" s="95"/>
      <c r="H58" s="238"/>
      <c r="I58" s="243" t="s">
        <v>1544</v>
      </c>
    </row>
    <row r="59" spans="2:9" ht="15" hidden="1">
      <c r="B59" s="221"/>
      <c r="C59" s="221"/>
      <c r="F59" s="234"/>
      <c r="G59" s="237"/>
      <c r="H59" s="238"/>
      <c r="I59" s="231" t="s">
        <v>1545</v>
      </c>
    </row>
    <row r="60" spans="2:9" ht="4.5" customHeight="1">
      <c r="B60" s="221"/>
      <c r="C60" s="221"/>
      <c r="H60" s="241"/>
      <c r="I60" s="231"/>
    </row>
    <row r="61" spans="1:9" ht="15">
      <c r="A61" s="230" t="s">
        <v>829</v>
      </c>
      <c r="B61" s="221">
        <f>+'Cond BS'!D34</f>
        <v>62</v>
      </c>
      <c r="C61" s="221">
        <f>+'Cond BS'!F34</f>
        <v>481</v>
      </c>
      <c r="D61" s="221">
        <f>+B61-C61</f>
        <v>-419</v>
      </c>
      <c r="F61" s="221">
        <f>+F48</f>
        <v>-278</v>
      </c>
      <c r="G61"/>
      <c r="I61" s="231" t="s">
        <v>1538</v>
      </c>
    </row>
    <row r="62" spans="1:9" ht="15">
      <c r="A62" s="230"/>
      <c r="B62" s="221"/>
      <c r="C62" s="221"/>
      <c r="F62" s="221">
        <v>291</v>
      </c>
      <c r="G62"/>
      <c r="I62" s="231" t="s">
        <v>1546</v>
      </c>
    </row>
    <row r="63" spans="2:9" ht="15">
      <c r="B63" s="221"/>
      <c r="C63" s="221"/>
      <c r="F63" s="234">
        <f>-'Cond PL'!F25</f>
        <v>3369</v>
      </c>
      <c r="H63" s="222">
        <f>SUM(F61:G63)</f>
        <v>3382</v>
      </c>
      <c r="I63" s="231" t="s">
        <v>1547</v>
      </c>
    </row>
    <row r="64" spans="2:9" ht="4.5" customHeight="1">
      <c r="B64" s="221"/>
      <c r="C64" s="221"/>
      <c r="H64" s="220"/>
      <c r="I64" s="231"/>
    </row>
    <row r="65" spans="1:9" ht="15">
      <c r="A65" s="114" t="s">
        <v>1548</v>
      </c>
      <c r="B65" s="221">
        <f>'Cond BS'!D32</f>
        <v>3140</v>
      </c>
      <c r="C65" s="221">
        <f>+'Cond BS'!F32</f>
        <v>3430</v>
      </c>
      <c r="D65" s="221">
        <f>+B65-C65</f>
        <v>-290</v>
      </c>
      <c r="F65" s="234" t="e">
        <f>+'Cond BS'!#REF!-'Cond BS'!#REF!</f>
        <v>#REF!</v>
      </c>
      <c r="G65" s="221" t="e">
        <f>+'Cond BS'!#REF!-'Cond BS'!#REF!</f>
        <v>#REF!</v>
      </c>
      <c r="H65" s="222" t="e">
        <f>SUM(F65:G65)</f>
        <v>#REF!</v>
      </c>
      <c r="I65" s="231" t="s">
        <v>1581</v>
      </c>
    </row>
    <row r="66" spans="2:9" ht="15" hidden="1">
      <c r="B66" s="117"/>
      <c r="C66" s="232"/>
      <c r="F66" s="233"/>
      <c r="I66" s="231"/>
    </row>
    <row r="67" spans="2:9" ht="15" hidden="1">
      <c r="B67" s="117"/>
      <c r="C67" s="232"/>
      <c r="F67" s="234"/>
      <c r="I67" s="231"/>
    </row>
    <row r="68" spans="2:9" ht="4.5" customHeight="1">
      <c r="B68" s="117"/>
      <c r="C68" s="232"/>
      <c r="I68" s="231"/>
    </row>
    <row r="69" spans="2:3" ht="15">
      <c r="B69" s="242">
        <f>SUM(B55:B68)</f>
        <v>24507</v>
      </c>
      <c r="C69" s="242">
        <f>SUM(C55:C68)</f>
        <v>32272</v>
      </c>
    </row>
    <row r="70" spans="2:3" ht="4.5" customHeight="1">
      <c r="B70" s="117"/>
      <c r="C70" s="232"/>
    </row>
    <row r="71" spans="1:3" ht="15">
      <c r="A71" s="114" t="s">
        <v>1549</v>
      </c>
      <c r="B71" s="221">
        <f>+B52-B69</f>
        <v>85442.00000000001</v>
      </c>
      <c r="C71" s="221">
        <f>+C52-C69</f>
        <v>68356</v>
      </c>
    </row>
    <row r="72" spans="2:3" ht="4.5" customHeight="1">
      <c r="B72" s="244"/>
      <c r="C72" s="244"/>
    </row>
    <row r="73" spans="2:3" ht="15.75" thickBot="1">
      <c r="B73" s="245">
        <f>+B71+B7+B14+B19+B25+B33+B30</f>
        <v>154637</v>
      </c>
      <c r="C73" s="245">
        <f>+C71+C7+C14+C19+C25+C33+C30</f>
        <v>133030</v>
      </c>
    </row>
    <row r="74" spans="2:3" ht="15.75" thickTop="1">
      <c r="B74" s="117"/>
      <c r="C74" s="232"/>
    </row>
    <row r="75" spans="2:3" ht="4.5" customHeight="1">
      <c r="B75" s="117"/>
      <c r="C75" s="232"/>
    </row>
    <row r="76" spans="1:3" ht="15">
      <c r="A76" s="219" t="s">
        <v>1550</v>
      </c>
      <c r="B76" s="117"/>
      <c r="C76" s="232"/>
    </row>
    <row r="77" spans="2:3" ht="15">
      <c r="B77" s="117"/>
      <c r="C77" s="232"/>
    </row>
    <row r="78" spans="1:9" ht="15">
      <c r="A78" s="114" t="s">
        <v>1551</v>
      </c>
      <c r="B78" s="117">
        <f>+'Cond BS'!D42</f>
        <v>53106</v>
      </c>
      <c r="C78" s="232">
        <f>+'Cond BS'!F42</f>
        <v>53076</v>
      </c>
      <c r="D78" s="117">
        <f>+B78-C78</f>
        <v>30</v>
      </c>
      <c r="F78" s="117">
        <f>+D78</f>
        <v>30</v>
      </c>
      <c r="G78"/>
      <c r="H78" s="222">
        <f>+F78</f>
        <v>30</v>
      </c>
      <c r="I78" s="231" t="s">
        <v>1589</v>
      </c>
    </row>
    <row r="79" spans="1:9" ht="15">
      <c r="A79" s="114" t="s">
        <v>1552</v>
      </c>
      <c r="B79" s="117">
        <f>+equity!F32</f>
        <v>1092</v>
      </c>
      <c r="C79" s="232">
        <f>+equity!F23</f>
        <v>583</v>
      </c>
      <c r="D79" s="117">
        <f>+B79-C79</f>
        <v>509</v>
      </c>
      <c r="F79" s="117"/>
      <c r="I79" s="231"/>
    </row>
    <row r="80" spans="1:9" ht="15">
      <c r="A80" s="114" t="s">
        <v>1553</v>
      </c>
      <c r="B80" s="117">
        <f>+equity!G32</f>
        <v>1707</v>
      </c>
      <c r="C80" s="232">
        <f>+equity!G23</f>
        <v>623</v>
      </c>
      <c r="D80" s="221">
        <f>+B80-C80</f>
        <v>1084</v>
      </c>
      <c r="F80" s="221">
        <f>+FJK!H74/1000</f>
        <v>1879.786</v>
      </c>
      <c r="I80" s="231" t="s">
        <v>1518</v>
      </c>
    </row>
    <row r="81" spans="2:9" ht="15">
      <c r="B81" s="117"/>
      <c r="C81" s="232"/>
      <c r="F81" s="246">
        <f>-FJK!K74/1000</f>
        <v>-751.914</v>
      </c>
      <c r="H81" s="222">
        <f>+F81+F80</f>
        <v>1127.872</v>
      </c>
      <c r="I81" s="231" t="s">
        <v>1554</v>
      </c>
    </row>
    <row r="82" spans="1:9" ht="15">
      <c r="A82" s="114" t="s">
        <v>1579</v>
      </c>
      <c r="B82" s="117">
        <f>+equity!E32</f>
        <v>377</v>
      </c>
      <c r="C82" s="232">
        <f>+equity!E23</f>
        <v>377</v>
      </c>
      <c r="D82" s="221">
        <f>+B82-C82</f>
        <v>0</v>
      </c>
      <c r="F82" s="221">
        <f>+D82</f>
        <v>0</v>
      </c>
      <c r="G82" s="114"/>
      <c r="H82" s="222">
        <f>+F82</f>
        <v>0</v>
      </c>
      <c r="I82" s="118" t="s">
        <v>1582</v>
      </c>
    </row>
    <row r="83" spans="2:9" ht="15">
      <c r="B83" s="117"/>
      <c r="C83" s="232"/>
      <c r="F83" s="247"/>
      <c r="I83" s="231"/>
    </row>
    <row r="84" spans="2:9" ht="4.5" customHeight="1">
      <c r="B84" s="117"/>
      <c r="C84" s="232"/>
      <c r="I84" s="231"/>
    </row>
    <row r="85" spans="1:9" ht="15">
      <c r="A85" s="114" t="s">
        <v>1555</v>
      </c>
      <c r="B85" s="117">
        <f>+equity!D32</f>
        <v>3715</v>
      </c>
      <c r="C85" s="232">
        <f>+equity!D23</f>
        <v>3715</v>
      </c>
      <c r="D85" s="221">
        <f>+B85-C85</f>
        <v>0</v>
      </c>
      <c r="F85" s="233"/>
      <c r="G85"/>
      <c r="I85" s="231"/>
    </row>
    <row r="86" spans="2:9" ht="4.5" customHeight="1">
      <c r="B86" s="117"/>
      <c r="C86" s="232"/>
      <c r="I86" s="231"/>
    </row>
    <row r="87" spans="1:9" ht="15">
      <c r="A87" s="114" t="s">
        <v>1556</v>
      </c>
      <c r="B87" s="117">
        <f>+equity!H32</f>
        <v>23777.1</v>
      </c>
      <c r="C87" s="248">
        <f>+equity!H23</f>
        <v>11060.1</v>
      </c>
      <c r="D87" s="221">
        <f>+B87-C87</f>
        <v>12716.999999999998</v>
      </c>
      <c r="F87" s="221">
        <f>+'Cond PL'!F23</f>
        <v>24562</v>
      </c>
      <c r="I87" s="231" t="s">
        <v>1557</v>
      </c>
    </row>
    <row r="88" spans="2:9" ht="15">
      <c r="B88" s="117"/>
      <c r="C88" s="237"/>
      <c r="F88" s="221">
        <f>-notes!D30</f>
        <v>-3804.989</v>
      </c>
      <c r="H88"/>
      <c r="I88" s="231" t="s">
        <v>1558</v>
      </c>
    </row>
    <row r="89" spans="2:9" ht="15">
      <c r="B89" s="117"/>
      <c r="C89" s="237"/>
      <c r="F89" s="221">
        <f>-notes!D31</f>
        <v>-41</v>
      </c>
      <c r="H89"/>
      <c r="I89" s="231" t="s">
        <v>1559</v>
      </c>
    </row>
    <row r="90" spans="2:9" ht="15" hidden="1">
      <c r="B90" s="117"/>
      <c r="C90" s="237"/>
      <c r="H90"/>
      <c r="I90" s="231" t="s">
        <v>1560</v>
      </c>
    </row>
    <row r="91" spans="2:9" ht="15" hidden="1">
      <c r="B91" s="117"/>
      <c r="C91" s="237"/>
      <c r="H91"/>
      <c r="I91" s="231" t="s">
        <v>1561</v>
      </c>
    </row>
    <row r="92" spans="2:9" ht="15">
      <c r="B92" s="246"/>
      <c r="C92" s="249"/>
      <c r="F92" s="249">
        <f>+'P&amp;L'!Y81</f>
        <v>-7966.832</v>
      </c>
      <c r="H92" s="222">
        <f>SUM(F87:F92)</f>
        <v>12749.178999999998</v>
      </c>
      <c r="I92" s="231" t="s">
        <v>1562</v>
      </c>
    </row>
    <row r="93" spans="1:6" ht="15">
      <c r="A93" s="219" t="s">
        <v>1563</v>
      </c>
      <c r="B93" s="232">
        <f>SUM(B78:B92)</f>
        <v>83774.1</v>
      </c>
      <c r="C93" s="232">
        <f>SUM(C78:C92)</f>
        <v>69434.1</v>
      </c>
      <c r="F93" s="117"/>
    </row>
    <row r="94" spans="2:6" ht="4.5" customHeight="1">
      <c r="B94" s="117"/>
      <c r="C94" s="221"/>
      <c r="F94" s="117"/>
    </row>
    <row r="95" spans="1:9" ht="15">
      <c r="A95" s="114" t="s">
        <v>369</v>
      </c>
      <c r="B95" s="117">
        <f>+'Cond BS'!D45</f>
        <v>61764</v>
      </c>
      <c r="C95" s="117">
        <f>+'Cond BS'!F45</f>
        <v>53797</v>
      </c>
      <c r="D95" s="221">
        <f>+B95-C95</f>
        <v>7967</v>
      </c>
      <c r="F95" s="117">
        <f>-F92</f>
        <v>7966.832</v>
      </c>
      <c r="I95" s="231" t="s">
        <v>1590</v>
      </c>
    </row>
    <row r="96" spans="2:9" ht="15">
      <c r="B96" s="117"/>
      <c r="C96" s="221"/>
      <c r="F96" s="117">
        <f>-F81</f>
        <v>751.914</v>
      </c>
      <c r="I96" s="231" t="s">
        <v>1518</v>
      </c>
    </row>
    <row r="97" spans="2:9" ht="15">
      <c r="B97" s="117"/>
      <c r="C97" s="221"/>
      <c r="I97" s="231"/>
    </row>
    <row r="98" spans="2:9" ht="15">
      <c r="B98" s="117"/>
      <c r="C98" s="221"/>
      <c r="I98" s="231" t="s">
        <v>1564</v>
      </c>
    </row>
    <row r="99" spans="2:9" ht="15">
      <c r="B99" s="117"/>
      <c r="C99" s="221"/>
      <c r="F99" s="249"/>
      <c r="H99" s="222">
        <f>SUM(F95:F99)</f>
        <v>8718.746000000001</v>
      </c>
      <c r="I99" s="231" t="s">
        <v>1542</v>
      </c>
    </row>
    <row r="100" spans="2:9" ht="4.5" customHeight="1">
      <c r="B100" s="117"/>
      <c r="C100" s="221"/>
      <c r="F100" s="117"/>
      <c r="H100" s="220"/>
      <c r="I100" s="231"/>
    </row>
    <row r="101" spans="1:9" ht="15">
      <c r="A101" s="114" t="s">
        <v>1565</v>
      </c>
      <c r="B101" s="117">
        <f>+'Cond BS'!D48</f>
        <v>1383</v>
      </c>
      <c r="C101" s="117">
        <f>+'Cond BS'!F48</f>
        <v>1342</v>
      </c>
      <c r="D101" s="221">
        <f>+B101-C101</f>
        <v>41</v>
      </c>
      <c r="F101" s="117">
        <f>D101</f>
        <v>41</v>
      </c>
      <c r="I101" s="231" t="s">
        <v>1566</v>
      </c>
    </row>
    <row r="102" spans="2:9" ht="4.5" customHeight="1">
      <c r="B102" s="117"/>
      <c r="C102" s="221"/>
      <c r="F102" s="117"/>
      <c r="I102" s="231"/>
    </row>
    <row r="103" spans="1:9" ht="15">
      <c r="A103" s="114" t="s">
        <v>1580</v>
      </c>
      <c r="B103" s="117">
        <f>+'Cond BS'!D47</f>
        <v>7342</v>
      </c>
      <c r="C103" s="117">
        <f>+'Cond BS'!F47</f>
        <v>8457</v>
      </c>
      <c r="D103" s="221">
        <f>+B103-C103</f>
        <v>-1115</v>
      </c>
      <c r="F103" s="221">
        <f>D103</f>
        <v>-1115</v>
      </c>
      <c r="G103"/>
      <c r="H103" s="222">
        <f>+F103</f>
        <v>-1115</v>
      </c>
      <c r="I103" s="231" t="s">
        <v>1583</v>
      </c>
    </row>
    <row r="104" spans="2:9" ht="4.5" customHeight="1">
      <c r="B104" s="117"/>
      <c r="C104" s="221"/>
      <c r="F104" s="117"/>
      <c r="I104" s="231"/>
    </row>
    <row r="105" spans="2:8" ht="15.75" thickBot="1">
      <c r="B105" s="250">
        <f>SUM(B93:B103)</f>
        <v>154263.1</v>
      </c>
      <c r="C105" s="250">
        <f>SUM(C93:C103)</f>
        <v>133030.1</v>
      </c>
      <c r="D105" s="242">
        <f>SUM(D6:D104)</f>
        <v>27310.000000000015</v>
      </c>
      <c r="F105" s="242" t="e">
        <f>SUM(F7:F104)</f>
        <v>#REF!</v>
      </c>
      <c r="G105" s="242" t="e">
        <f>SUM(G7:G104)</f>
        <v>#REF!</v>
      </c>
      <c r="H105" s="251" t="e">
        <f>SUM(F105:G105)</f>
        <v>#REF!</v>
      </c>
    </row>
    <row r="106" spans="2:6" ht="15.75" thickTop="1">
      <c r="B106" s="221">
        <f>+B105-B73</f>
        <v>-373.8999999999942</v>
      </c>
      <c r="C106" s="232">
        <f>+C105-C73</f>
        <v>0.10000000000582077</v>
      </c>
      <c r="F106" s="117"/>
    </row>
    <row r="107" spans="1:43" s="256" customFormat="1" ht="15">
      <c r="A107" s="252"/>
      <c r="B107" s="248"/>
      <c r="C107" s="253"/>
      <c r="D107" s="237"/>
      <c r="E107" s="237"/>
      <c r="F107" s="248"/>
      <c r="G107" s="237"/>
      <c r="H107" s="238"/>
      <c r="I107" s="238"/>
      <c r="J107" s="238"/>
      <c r="K107" s="238"/>
      <c r="L107" s="254"/>
      <c r="M107" s="254"/>
      <c r="N107" s="254"/>
      <c r="O107" s="254"/>
      <c r="P107" s="254"/>
      <c r="Q107" s="254"/>
      <c r="R107" s="254"/>
      <c r="S107" s="254"/>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row>
    <row r="108" spans="2:43" s="256" customFormat="1" ht="4.5" customHeight="1">
      <c r="B108" s="248"/>
      <c r="C108" s="253"/>
      <c r="D108" s="237"/>
      <c r="E108" s="237"/>
      <c r="F108" s="248"/>
      <c r="G108" s="237"/>
      <c r="H108" s="238"/>
      <c r="I108" s="238"/>
      <c r="J108" s="238"/>
      <c r="K108" s="238"/>
      <c r="L108" s="254"/>
      <c r="M108" s="254"/>
      <c r="N108" s="254"/>
      <c r="O108" s="254"/>
      <c r="P108" s="254"/>
      <c r="Q108" s="254"/>
      <c r="R108" s="254"/>
      <c r="S108" s="254"/>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row>
    <row r="109" spans="2:43" s="256" customFormat="1" ht="15">
      <c r="B109" s="248"/>
      <c r="C109" s="253"/>
      <c r="D109" s="237"/>
      <c r="E109" s="237"/>
      <c r="F109" s="248"/>
      <c r="G109" s="237"/>
      <c r="H109" s="238"/>
      <c r="I109" s="238"/>
      <c r="J109" s="238"/>
      <c r="K109" s="238"/>
      <c r="L109" s="254"/>
      <c r="M109" s="254"/>
      <c r="N109" s="254"/>
      <c r="O109" s="254"/>
      <c r="P109" s="254"/>
      <c r="Q109" s="254"/>
      <c r="R109" s="254"/>
      <c r="S109" s="254"/>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row>
    <row r="110" spans="1:43" s="256" customFormat="1" ht="15">
      <c r="A110" s="257"/>
      <c r="B110" s="248"/>
      <c r="C110" s="248"/>
      <c r="D110" s="237"/>
      <c r="E110" s="237"/>
      <c r="F110" s="237"/>
      <c r="G110" s="237"/>
      <c r="H110" s="238"/>
      <c r="I110" s="238"/>
      <c r="J110" s="238"/>
      <c r="K110" s="238"/>
      <c r="L110" s="254"/>
      <c r="M110" s="254"/>
      <c r="N110" s="254"/>
      <c r="O110" s="254"/>
      <c r="P110" s="254"/>
      <c r="Q110" s="254"/>
      <c r="R110" s="254"/>
      <c r="S110" s="254"/>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row>
    <row r="111" spans="1:43" s="256" customFormat="1" ht="15">
      <c r="A111" s="257"/>
      <c r="B111" s="248"/>
      <c r="C111" s="253"/>
      <c r="D111" s="237"/>
      <c r="E111" s="237"/>
      <c r="F111" s="237"/>
      <c r="G111" s="237"/>
      <c r="H111" s="238"/>
      <c r="I111" s="238"/>
      <c r="J111" s="238"/>
      <c r="K111" s="238"/>
      <c r="L111" s="254"/>
      <c r="M111" s="254"/>
      <c r="N111" s="254"/>
      <c r="O111" s="254"/>
      <c r="P111" s="254"/>
      <c r="Q111" s="254"/>
      <c r="R111" s="254"/>
      <c r="S111" s="254"/>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row>
    <row r="112" spans="2:43" s="256" customFormat="1" ht="15">
      <c r="B112" s="248"/>
      <c r="C112" s="248"/>
      <c r="D112" s="248"/>
      <c r="E112" s="237"/>
      <c r="F112" s="237"/>
      <c r="G112" s="237"/>
      <c r="H112" s="238"/>
      <c r="I112" s="239"/>
      <c r="J112" s="238"/>
      <c r="K112" s="238"/>
      <c r="L112" s="254"/>
      <c r="M112" s="254"/>
      <c r="N112" s="254"/>
      <c r="O112" s="254"/>
      <c r="P112" s="254"/>
      <c r="Q112" s="254"/>
      <c r="R112" s="254"/>
      <c r="S112" s="254"/>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row>
    <row r="113" spans="2:3" ht="15">
      <c r="B113" s="117"/>
      <c r="C113" s="232"/>
    </row>
    <row r="114" spans="1:3" ht="15" hidden="1">
      <c r="A114" s="114" t="s">
        <v>1567</v>
      </c>
      <c r="B114" s="117"/>
      <c r="C114" s="232"/>
    </row>
    <row r="115" spans="1:4" ht="15" hidden="1">
      <c r="A115" s="118" t="s">
        <v>1568</v>
      </c>
      <c r="B115" s="117"/>
      <c r="C115"/>
      <c r="D115" s="221">
        <v>-18</v>
      </c>
    </row>
    <row r="116" spans="1:4" ht="15" hidden="1">
      <c r="A116" s="118" t="s">
        <v>1569</v>
      </c>
      <c r="B116" s="117"/>
      <c r="C116"/>
      <c r="D116" s="221">
        <v>-23</v>
      </c>
    </row>
    <row r="117" spans="1:4" ht="15" hidden="1">
      <c r="A117" s="118" t="s">
        <v>1570</v>
      </c>
      <c r="B117" s="117"/>
      <c r="C117"/>
      <c r="D117" s="221">
        <v>-48</v>
      </c>
    </row>
    <row r="118" spans="1:4" ht="15" hidden="1">
      <c r="A118" s="118" t="s">
        <v>1571</v>
      </c>
      <c r="B118" s="117"/>
      <c r="C118"/>
      <c r="D118" s="221">
        <v>-39</v>
      </c>
    </row>
    <row r="119" spans="1:4" ht="15" hidden="1">
      <c r="A119" s="118" t="s">
        <v>1572</v>
      </c>
      <c r="B119" s="117"/>
      <c r="C119"/>
      <c r="D119" s="249">
        <v>-80</v>
      </c>
    </row>
    <row r="120" spans="2:4" ht="15" hidden="1">
      <c r="B120" s="117"/>
      <c r="C120"/>
      <c r="D120" s="249">
        <f>SUM(D115:D119)</f>
        <v>-208</v>
      </c>
    </row>
    <row r="121" spans="2:3" ht="15">
      <c r="B121" s="117"/>
      <c r="C121" s="232"/>
    </row>
    <row r="122" spans="2:3" ht="15">
      <c r="B122" s="117"/>
      <c r="C122" s="232"/>
    </row>
    <row r="123" spans="2:3" ht="15">
      <c r="B123" s="117"/>
      <c r="C123" s="232"/>
    </row>
    <row r="124" spans="2:3" ht="15">
      <c r="B124" s="117"/>
      <c r="C124" s="232"/>
    </row>
    <row r="125" spans="2:3" ht="15">
      <c r="B125" s="117"/>
      <c r="C125" s="232"/>
    </row>
    <row r="126" spans="2:3" ht="15">
      <c r="B126" s="117"/>
      <c r="C126" s="232"/>
    </row>
    <row r="127" spans="2:3" ht="15">
      <c r="B127" s="117"/>
      <c r="C127" s="232"/>
    </row>
    <row r="128" spans="2:3" ht="15">
      <c r="B128" s="117"/>
      <c r="C128" s="232"/>
    </row>
    <row r="129" spans="2:3" ht="15">
      <c r="B129" s="117"/>
      <c r="C129" s="232"/>
    </row>
    <row r="130" spans="2:3" ht="15">
      <c r="B130" s="117"/>
      <c r="C130" s="232"/>
    </row>
    <row r="131" spans="2:3" ht="15">
      <c r="B131" s="117"/>
      <c r="C131" s="232"/>
    </row>
    <row r="132" spans="2:3" ht="15">
      <c r="B132" s="117"/>
      <c r="C132" s="232"/>
    </row>
    <row r="133" spans="2:3" ht="15">
      <c r="B133" s="117"/>
      <c r="C133" s="232"/>
    </row>
    <row r="134" spans="2:3" ht="15">
      <c r="B134" s="117"/>
      <c r="C134" s="232"/>
    </row>
    <row r="135" spans="2:3" ht="15">
      <c r="B135" s="117"/>
      <c r="C135" s="232"/>
    </row>
    <row r="136" spans="2:3" ht="15">
      <c r="B136" s="117"/>
      <c r="C136" s="232"/>
    </row>
    <row r="137" spans="2:3" ht="15">
      <c r="B137" s="117"/>
      <c r="C137" s="232"/>
    </row>
    <row r="138" spans="2:3" ht="15">
      <c r="B138" s="117"/>
      <c r="C138" s="232"/>
    </row>
    <row r="139" spans="2:3" ht="15">
      <c r="B139" s="117"/>
      <c r="C139" s="232"/>
    </row>
    <row r="140" spans="2:3" ht="15">
      <c r="B140" s="117"/>
      <c r="C140" s="232"/>
    </row>
    <row r="141" spans="2:3" ht="15">
      <c r="B141" s="117"/>
      <c r="C141" s="232"/>
    </row>
    <row r="142" spans="2:3" ht="15">
      <c r="B142" s="117"/>
      <c r="C142" s="232"/>
    </row>
    <row r="143" spans="2:3" ht="15">
      <c r="B143" s="117"/>
      <c r="C143" s="232"/>
    </row>
    <row r="144" spans="2:3" ht="15">
      <c r="B144" s="117"/>
      <c r="C144" s="232"/>
    </row>
    <row r="145" spans="2:3" ht="15">
      <c r="B145" s="117"/>
      <c r="C145" s="232"/>
    </row>
    <row r="146" spans="2:3" ht="15">
      <c r="B146" s="117"/>
      <c r="C146" s="232"/>
    </row>
    <row r="147" spans="2:3" ht="15">
      <c r="B147" s="117"/>
      <c r="C147" s="232"/>
    </row>
    <row r="148" spans="2:3" ht="15">
      <c r="B148" s="117"/>
      <c r="C148" s="232"/>
    </row>
    <row r="149" ht="15">
      <c r="C149" s="232"/>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KYM</dc:creator>
  <cp:keywords/>
  <dc:description/>
  <cp:lastModifiedBy>paulinekhoo</cp:lastModifiedBy>
  <cp:lastPrinted>2007-03-30T09:44:06Z</cp:lastPrinted>
  <dcterms:created xsi:type="dcterms:W3CDTF">1999-09-12T02:26:21Z</dcterms:created>
  <dcterms:modified xsi:type="dcterms:W3CDTF">2007-03-30T09:45:08Z</dcterms:modified>
  <cp:category/>
  <cp:version/>
  <cp:contentType/>
  <cp:contentStatus/>
</cp:coreProperties>
</file>